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4385" yWindow="-15" windowWidth="14430" windowHeight="14190" tabRatio="778"/>
  </bookViews>
  <sheets>
    <sheet name="Obsah" sheetId="14" r:id="rId1"/>
    <sheet name="Buňky G-GE-GH" sheetId="1" r:id="rId2"/>
    <sheet name="Kulisy GKK" sheetId="4" r:id="rId3"/>
    <sheet name="Kulisy GKD" sheetId="6" r:id="rId4"/>
    <sheet name="Kulisy GKDH" sheetId="7" r:id="rId5"/>
    <sheet name="Kruhové tlumiče GD" sheetId="8" r:id="rId6"/>
    <sheet name="Kruhové tlumiče GDE" sheetId="9" r:id="rId7"/>
    <sheet name="Tlumiče výfuku GV" sheetId="10" r:id="rId8"/>
    <sheet name="Akustické materiály" sheetId="11" r:id="rId9"/>
    <sheet name="Akustické kryty GAK" sheetId="12" r:id="rId10"/>
    <sheet name="Protihlukové digestoře GPHD" sheetId="13" r:id="rId11"/>
  </sheets>
  <definedNames>
    <definedName name="_xlnm.Print_Area" localSheetId="9">'Akustické kryty GAK'!$A$1:$J$50</definedName>
    <definedName name="_xlnm.Print_Area" localSheetId="8">'Akustické materiály'!$A$1:$J$50</definedName>
    <definedName name="_xlnm.Print_Area" localSheetId="1">'Buňky G-GE-GH'!$A$1:$J$50</definedName>
    <definedName name="_xlnm.Print_Area" localSheetId="5">'Kruhové tlumiče GD'!$A$1:$J$150</definedName>
    <definedName name="_xlnm.Print_Area" localSheetId="6">'Kruhové tlumiče GDE'!$A$1:$J$150</definedName>
    <definedName name="_xlnm.Print_Area" localSheetId="3">'Kulisy GKD'!$A$1:$J$150</definedName>
    <definedName name="_xlnm.Print_Area" localSheetId="4">'Kulisy GKDH'!$A$1:$J$150</definedName>
    <definedName name="_xlnm.Print_Area" localSheetId="2">'Kulisy GKK'!$A$1:$J$150</definedName>
    <definedName name="_xlnm.Print_Area" localSheetId="0">Obsah!$A$1:$J$50</definedName>
    <definedName name="_xlnm.Print_Area" localSheetId="10">'Protihlukové digestoře GPHD'!$A$1:$J$50</definedName>
    <definedName name="_xlnm.Print_Area" localSheetId="7">'Tlumiče výfuku GV'!$A$1:$J$50</definedName>
  </definedNames>
  <calcPr calcId="145621"/>
</workbook>
</file>

<file path=xl/calcChain.xml><?xml version="1.0" encoding="utf-8"?>
<calcChain xmlns="http://schemas.openxmlformats.org/spreadsheetml/2006/main">
  <c r="I6" i="9" l="1"/>
  <c r="I106" i="9" s="1"/>
  <c r="I106" i="8"/>
  <c r="I6" i="8"/>
  <c r="I56" i="8" s="1"/>
  <c r="I106" i="7"/>
  <c r="I56" i="7"/>
  <c r="I6" i="7"/>
  <c r="I6" i="6"/>
  <c r="I106" i="6" s="1"/>
  <c r="I6" i="4"/>
  <c r="I56" i="4"/>
  <c r="I106" i="4"/>
  <c r="I6" i="10"/>
  <c r="I6" i="11"/>
  <c r="I6" i="12"/>
  <c r="I6" i="13"/>
  <c r="I8" i="11"/>
  <c r="I8" i="10"/>
  <c r="I8" i="9"/>
  <c r="I8" i="8"/>
  <c r="I8" i="7"/>
  <c r="I8" i="6"/>
  <c r="I8" i="4"/>
  <c r="I8" i="1"/>
  <c r="I8" i="13"/>
  <c r="I8" i="12"/>
  <c r="G134" i="8"/>
  <c r="G83" i="8"/>
  <c r="I56" i="6" l="1"/>
  <c r="I56" i="9"/>
  <c r="G84" i="8"/>
  <c r="G133" i="8"/>
  <c r="J8" i="12"/>
  <c r="G23" i="13"/>
  <c r="G22" i="13"/>
  <c r="G21" i="13"/>
  <c r="G20" i="13"/>
  <c r="G15" i="13"/>
  <c r="G14" i="13"/>
  <c r="G13" i="13"/>
  <c r="G12" i="13"/>
  <c r="G41" i="12"/>
  <c r="G36" i="12"/>
  <c r="G35" i="12"/>
  <c r="G34" i="12"/>
  <c r="G29" i="12"/>
  <c r="G28" i="12"/>
  <c r="G27" i="12"/>
  <c r="G21" i="12"/>
  <c r="G18" i="12"/>
  <c r="G15" i="12"/>
  <c r="G12" i="12"/>
  <c r="G45" i="11"/>
  <c r="G44" i="11"/>
  <c r="G43" i="11"/>
  <c r="G42" i="11"/>
  <c r="G37" i="11"/>
  <c r="G36" i="11"/>
  <c r="G35" i="11"/>
  <c r="G30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38" i="10"/>
  <c r="G37" i="10"/>
  <c r="G36" i="10"/>
  <c r="G35" i="10"/>
  <c r="G33" i="10"/>
  <c r="G32" i="10"/>
  <c r="G31" i="10"/>
  <c r="G30" i="10"/>
  <c r="G25" i="10"/>
  <c r="G24" i="10"/>
  <c r="G23" i="10"/>
  <c r="G22" i="10"/>
  <c r="G20" i="10"/>
  <c r="G19" i="10"/>
  <c r="G18" i="10"/>
  <c r="G17" i="10"/>
  <c r="G15" i="10"/>
  <c r="G14" i="10"/>
  <c r="G13" i="10"/>
  <c r="G12" i="10"/>
  <c r="G28" i="9" l="1"/>
  <c r="G27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32" i="8" l="1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32" i="7" l="1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38" i="6" l="1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41" i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43" i="1"/>
  <c r="G42" i="1"/>
  <c r="G39" i="1"/>
  <c r="G38" i="1"/>
  <c r="G35" i="1"/>
  <c r="G30" i="1"/>
  <c r="G28" i="1"/>
  <c r="G27" i="1"/>
  <c r="G26" i="1"/>
  <c r="G24" i="1"/>
  <c r="G23" i="1"/>
  <c r="G22" i="1"/>
  <c r="G16" i="1"/>
  <c r="G15" i="1"/>
  <c r="G14" i="1"/>
  <c r="G12" i="1"/>
  <c r="G40" i="1" l="1"/>
  <c r="G36" i="1"/>
  <c r="G13" i="1"/>
  <c r="G17" i="1"/>
  <c r="G25" i="1"/>
  <c r="G29" i="1"/>
  <c r="G37" i="1"/>
  <c r="J8" i="14"/>
  <c r="J8" i="13" l="1"/>
  <c r="I22" i="13" s="1"/>
  <c r="I21" i="13"/>
  <c r="J8" i="11"/>
  <c r="J8" i="10"/>
  <c r="I20" i="13" l="1"/>
  <c r="I23" i="13"/>
  <c r="I13" i="13"/>
  <c r="I14" i="13"/>
  <c r="I12" i="13"/>
  <c r="I15" i="13"/>
  <c r="I36" i="12" l="1"/>
  <c r="I35" i="12"/>
  <c r="I34" i="12"/>
  <c r="I27" i="12"/>
  <c r="I28" i="12"/>
  <c r="I29" i="12"/>
  <c r="I41" i="12"/>
  <c r="I21" i="12"/>
  <c r="I18" i="12"/>
  <c r="I15" i="12"/>
  <c r="I12" i="12"/>
  <c r="J58" i="9"/>
  <c r="J108" i="9"/>
  <c r="J8" i="9"/>
  <c r="J58" i="8"/>
  <c r="J108" i="8"/>
  <c r="J8" i="8"/>
  <c r="J108" i="7"/>
  <c r="J58" i="7"/>
  <c r="J8" i="7"/>
  <c r="J108" i="6"/>
  <c r="J58" i="6"/>
  <c r="J8" i="6"/>
  <c r="J108" i="4"/>
  <c r="J58" i="4"/>
  <c r="J8" i="4"/>
  <c r="I94" i="9" l="1"/>
  <c r="E94" i="9"/>
  <c r="I92" i="9"/>
  <c r="E92" i="9"/>
  <c r="I90" i="9"/>
  <c r="E90" i="9"/>
  <c r="I77" i="9"/>
  <c r="I73" i="9"/>
  <c r="I69" i="9"/>
  <c r="I65" i="9"/>
  <c r="H94" i="9"/>
  <c r="D94" i="9"/>
  <c r="H92" i="9"/>
  <c r="D92" i="9"/>
  <c r="H90" i="9"/>
  <c r="D90" i="9"/>
  <c r="I76" i="9"/>
  <c r="I72" i="9"/>
  <c r="I68" i="9"/>
  <c r="I64" i="9"/>
  <c r="G94" i="9"/>
  <c r="C94" i="9"/>
  <c r="G92" i="9"/>
  <c r="C92" i="9"/>
  <c r="G90" i="9"/>
  <c r="C90" i="9"/>
  <c r="I75" i="9"/>
  <c r="I71" i="9"/>
  <c r="I67" i="9"/>
  <c r="I63" i="9"/>
  <c r="F94" i="9"/>
  <c r="J92" i="9"/>
  <c r="F92" i="9"/>
  <c r="J90" i="9"/>
  <c r="F90" i="9"/>
  <c r="I78" i="9"/>
  <c r="I74" i="9"/>
  <c r="I70" i="9"/>
  <c r="I66" i="9"/>
  <c r="I62" i="9"/>
  <c r="E142" i="9"/>
  <c r="H144" i="9"/>
  <c r="D144" i="9"/>
  <c r="H142" i="9"/>
  <c r="D142" i="9"/>
  <c r="H140" i="9"/>
  <c r="D140" i="9"/>
  <c r="I126" i="9"/>
  <c r="I122" i="9"/>
  <c r="I118" i="9"/>
  <c r="I114" i="9"/>
  <c r="I123" i="9"/>
  <c r="G144" i="9"/>
  <c r="C144" i="9"/>
  <c r="G142" i="9"/>
  <c r="C142" i="9"/>
  <c r="G140" i="9"/>
  <c r="C140" i="9"/>
  <c r="I125" i="9"/>
  <c r="I121" i="9"/>
  <c r="I117" i="9"/>
  <c r="I113" i="9"/>
  <c r="I144" i="9"/>
  <c r="I142" i="9"/>
  <c r="E140" i="9"/>
  <c r="I119" i="9"/>
  <c r="F144" i="9"/>
  <c r="J142" i="9"/>
  <c r="F142" i="9"/>
  <c r="J140" i="9"/>
  <c r="F140" i="9"/>
  <c r="I128" i="9"/>
  <c r="I124" i="9"/>
  <c r="I120" i="9"/>
  <c r="I116" i="9"/>
  <c r="I112" i="9"/>
  <c r="E144" i="9"/>
  <c r="I140" i="9"/>
  <c r="I127" i="9"/>
  <c r="I115" i="9"/>
  <c r="I94" i="8"/>
  <c r="E94" i="8"/>
  <c r="I92" i="8"/>
  <c r="E92" i="8"/>
  <c r="I90" i="8"/>
  <c r="E90" i="8"/>
  <c r="I83" i="8"/>
  <c r="I79" i="8"/>
  <c r="I75" i="8"/>
  <c r="I71" i="8"/>
  <c r="I67" i="8"/>
  <c r="I63" i="8"/>
  <c r="I70" i="8"/>
  <c r="I62" i="8"/>
  <c r="G94" i="8"/>
  <c r="G92" i="8"/>
  <c r="C92" i="8"/>
  <c r="G90" i="8"/>
  <c r="I81" i="8"/>
  <c r="I73" i="8"/>
  <c r="I65" i="8"/>
  <c r="J92" i="8"/>
  <c r="J90" i="8"/>
  <c r="I84" i="8"/>
  <c r="I76" i="8"/>
  <c r="I68" i="8"/>
  <c r="H94" i="8"/>
  <c r="D94" i="8"/>
  <c r="H92" i="8"/>
  <c r="D92" i="8"/>
  <c r="H90" i="8"/>
  <c r="D90" i="8"/>
  <c r="I82" i="8"/>
  <c r="I78" i="8"/>
  <c r="I74" i="8"/>
  <c r="I66" i="8"/>
  <c r="C94" i="8"/>
  <c r="C90" i="8"/>
  <c r="I77" i="8"/>
  <c r="I69" i="8"/>
  <c r="F94" i="8"/>
  <c r="F92" i="8"/>
  <c r="F90" i="8"/>
  <c r="I80" i="8"/>
  <c r="I72" i="8"/>
  <c r="I64" i="8"/>
  <c r="I144" i="8"/>
  <c r="E144" i="8"/>
  <c r="I142" i="8"/>
  <c r="E142" i="8"/>
  <c r="I140" i="8"/>
  <c r="E140" i="8"/>
  <c r="I133" i="8"/>
  <c r="I129" i="8"/>
  <c r="I125" i="8"/>
  <c r="I121" i="8"/>
  <c r="I117" i="8"/>
  <c r="I113" i="8"/>
  <c r="H144" i="8"/>
  <c r="D144" i="8"/>
  <c r="H142" i="8"/>
  <c r="D142" i="8"/>
  <c r="H140" i="8"/>
  <c r="D140" i="8"/>
  <c r="I132" i="8"/>
  <c r="I128" i="8"/>
  <c r="I124" i="8"/>
  <c r="I120" i="8"/>
  <c r="I116" i="8"/>
  <c r="I112" i="8"/>
  <c r="G144" i="8"/>
  <c r="C144" i="8"/>
  <c r="G142" i="8"/>
  <c r="C142" i="8"/>
  <c r="G140" i="8"/>
  <c r="C140" i="8"/>
  <c r="I131" i="8"/>
  <c r="I127" i="8"/>
  <c r="I123" i="8"/>
  <c r="I119" i="8"/>
  <c r="I115" i="8"/>
  <c r="F144" i="8"/>
  <c r="J142" i="8"/>
  <c r="F142" i="8"/>
  <c r="J140" i="8"/>
  <c r="F140" i="8"/>
  <c r="I134" i="8"/>
  <c r="I130" i="8"/>
  <c r="I126" i="8"/>
  <c r="I122" i="8"/>
  <c r="I118" i="8"/>
  <c r="I114" i="8"/>
  <c r="J94" i="7"/>
  <c r="F94" i="7"/>
  <c r="J93" i="7"/>
  <c r="F93" i="7"/>
  <c r="I94" i="7"/>
  <c r="E94" i="7"/>
  <c r="I93" i="7"/>
  <c r="E93" i="7"/>
  <c r="H94" i="7"/>
  <c r="D94" i="7"/>
  <c r="H93" i="7"/>
  <c r="D93" i="7"/>
  <c r="G94" i="7"/>
  <c r="C94" i="7"/>
  <c r="G93" i="7"/>
  <c r="C93" i="7"/>
  <c r="J144" i="7"/>
  <c r="F144" i="7"/>
  <c r="J143" i="7"/>
  <c r="F143" i="7"/>
  <c r="I144" i="7"/>
  <c r="E144" i="7"/>
  <c r="I143" i="7"/>
  <c r="E143" i="7"/>
  <c r="H144" i="7"/>
  <c r="D144" i="7"/>
  <c r="H143" i="7"/>
  <c r="D143" i="7"/>
  <c r="G144" i="7"/>
  <c r="C144" i="7"/>
  <c r="G143" i="7"/>
  <c r="C143" i="7"/>
  <c r="J94" i="6"/>
  <c r="F94" i="6"/>
  <c r="J93" i="6"/>
  <c r="J95" i="6" s="1"/>
  <c r="F93" i="6"/>
  <c r="I94" i="6"/>
  <c r="E94" i="6"/>
  <c r="I93" i="6"/>
  <c r="E93" i="6"/>
  <c r="H94" i="6"/>
  <c r="D94" i="6"/>
  <c r="H93" i="6"/>
  <c r="H95" i="6" s="1"/>
  <c r="D93" i="6"/>
  <c r="G94" i="6"/>
  <c r="C94" i="6"/>
  <c r="G93" i="6"/>
  <c r="C93" i="6"/>
  <c r="J144" i="6"/>
  <c r="F144" i="6"/>
  <c r="J143" i="6"/>
  <c r="F143" i="6"/>
  <c r="I144" i="6"/>
  <c r="E144" i="6"/>
  <c r="I143" i="6"/>
  <c r="E143" i="6"/>
  <c r="H144" i="6"/>
  <c r="D144" i="6"/>
  <c r="H143" i="6"/>
  <c r="D143" i="6"/>
  <c r="G144" i="6"/>
  <c r="C144" i="6"/>
  <c r="G143" i="6"/>
  <c r="C143" i="6"/>
  <c r="J144" i="4"/>
  <c r="F144" i="4"/>
  <c r="J143" i="4"/>
  <c r="F143" i="4"/>
  <c r="I144" i="4"/>
  <c r="E144" i="4"/>
  <c r="I143" i="4"/>
  <c r="E143" i="4"/>
  <c r="H144" i="4"/>
  <c r="D144" i="4"/>
  <c r="H143" i="4"/>
  <c r="D143" i="4"/>
  <c r="G144" i="4"/>
  <c r="C144" i="4"/>
  <c r="G143" i="4"/>
  <c r="C143" i="4"/>
  <c r="J94" i="4"/>
  <c r="F94" i="4"/>
  <c r="J93" i="4"/>
  <c r="F93" i="4"/>
  <c r="I94" i="4"/>
  <c r="E94" i="4"/>
  <c r="I93" i="4"/>
  <c r="E93" i="4"/>
  <c r="H94" i="4"/>
  <c r="D94" i="4"/>
  <c r="H93" i="4"/>
  <c r="D93" i="4"/>
  <c r="G94" i="4"/>
  <c r="C94" i="4"/>
  <c r="G93" i="4"/>
  <c r="C93" i="4"/>
  <c r="I44" i="8"/>
  <c r="E44" i="8"/>
  <c r="I42" i="8"/>
  <c r="E42" i="8"/>
  <c r="I40" i="8"/>
  <c r="E40" i="8"/>
  <c r="I33" i="8"/>
  <c r="H44" i="8"/>
  <c r="D44" i="8"/>
  <c r="H42" i="8"/>
  <c r="D42" i="8"/>
  <c r="D40" i="8"/>
  <c r="G44" i="8"/>
  <c r="G42" i="8"/>
  <c r="G40" i="8"/>
  <c r="F44" i="8"/>
  <c r="F42" i="8"/>
  <c r="F40" i="8"/>
  <c r="H40" i="8"/>
  <c r="C44" i="8"/>
  <c r="C42" i="8"/>
  <c r="C40" i="8"/>
  <c r="J42" i="8"/>
  <c r="J40" i="8"/>
  <c r="I34" i="8"/>
  <c r="F95" i="6"/>
  <c r="D95" i="6"/>
  <c r="J44" i="6"/>
  <c r="F44" i="6"/>
  <c r="I43" i="6"/>
  <c r="E43" i="6"/>
  <c r="C43" i="6"/>
  <c r="I44" i="6"/>
  <c r="D44" i="6"/>
  <c r="H43" i="6"/>
  <c r="H44" i="6"/>
  <c r="C44" i="6"/>
  <c r="G43" i="6"/>
  <c r="E44" i="6"/>
  <c r="G44" i="6"/>
  <c r="J43" i="6"/>
  <c r="F43" i="6"/>
  <c r="F45" i="6" s="1"/>
  <c r="D43" i="6"/>
  <c r="I28" i="9"/>
  <c r="H44" i="9"/>
  <c r="D44" i="9"/>
  <c r="H42" i="9"/>
  <c r="D42" i="9"/>
  <c r="H40" i="9"/>
  <c r="D40" i="9"/>
  <c r="G44" i="9"/>
  <c r="C44" i="9"/>
  <c r="G42" i="9"/>
  <c r="C42" i="9"/>
  <c r="G40" i="9"/>
  <c r="C40" i="9"/>
  <c r="F44" i="9"/>
  <c r="J42" i="9"/>
  <c r="F42" i="9"/>
  <c r="J40" i="9"/>
  <c r="F40" i="9"/>
  <c r="I27" i="9"/>
  <c r="I44" i="9"/>
  <c r="E44" i="9"/>
  <c r="I42" i="9"/>
  <c r="E42" i="9"/>
  <c r="I40" i="9"/>
  <c r="E40" i="9"/>
  <c r="I44" i="7"/>
  <c r="E44" i="7"/>
  <c r="I43" i="7"/>
  <c r="E43" i="7"/>
  <c r="H44" i="7"/>
  <c r="D44" i="7"/>
  <c r="H43" i="7"/>
  <c r="D43" i="7"/>
  <c r="G44" i="7"/>
  <c r="C44" i="7"/>
  <c r="G43" i="7"/>
  <c r="J44" i="7"/>
  <c r="J43" i="7"/>
  <c r="F43" i="7"/>
  <c r="C43" i="7"/>
  <c r="F44" i="7"/>
  <c r="J44" i="4"/>
  <c r="F44" i="4"/>
  <c r="J43" i="4"/>
  <c r="F43" i="4"/>
  <c r="I44" i="4"/>
  <c r="E44" i="4"/>
  <c r="I43" i="4"/>
  <c r="E43" i="4"/>
  <c r="H44" i="4"/>
  <c r="D44" i="4"/>
  <c r="H43" i="4"/>
  <c r="G44" i="4"/>
  <c r="C44" i="4"/>
  <c r="G43" i="4"/>
  <c r="C43" i="4"/>
  <c r="D43" i="4"/>
  <c r="I23" i="11"/>
  <c r="I12" i="11"/>
  <c r="I18" i="7"/>
  <c r="I36" i="7"/>
  <c r="I27" i="7"/>
  <c r="I83" i="7"/>
  <c r="I77" i="7"/>
  <c r="I68" i="7"/>
  <c r="I86" i="7"/>
  <c r="I130" i="7"/>
  <c r="I123" i="7"/>
  <c r="I116" i="7"/>
  <c r="I25" i="9"/>
  <c r="I15" i="11"/>
  <c r="I19" i="11"/>
  <c r="I43" i="11"/>
  <c r="I35" i="11"/>
  <c r="I42" i="11"/>
  <c r="I30" i="11"/>
  <c r="I45" i="11"/>
  <c r="I37" i="11"/>
  <c r="I44" i="11"/>
  <c r="I36" i="11"/>
  <c r="I88" i="4"/>
  <c r="I68" i="4"/>
  <c r="I86" i="4"/>
  <c r="I77" i="4"/>
  <c r="I13" i="7"/>
  <c r="I17" i="7"/>
  <c r="I23" i="7"/>
  <c r="I31" i="7"/>
  <c r="I35" i="7"/>
  <c r="I14" i="7"/>
  <c r="I26" i="7"/>
  <c r="I22" i="7"/>
  <c r="I32" i="7"/>
  <c r="I19" i="7"/>
  <c r="I28" i="7"/>
  <c r="I37" i="7"/>
  <c r="I17" i="6"/>
  <c r="I30" i="6"/>
  <c r="I19" i="6"/>
  <c r="I31" i="6"/>
  <c r="I12" i="6"/>
  <c r="I23" i="6"/>
  <c r="I35" i="6"/>
  <c r="I13" i="6"/>
  <c r="I25" i="6"/>
  <c r="I37" i="6"/>
  <c r="I18" i="6"/>
  <c r="I36" i="6"/>
  <c r="I27" i="6"/>
  <c r="I16" i="6"/>
  <c r="I22" i="6"/>
  <c r="I28" i="6"/>
  <c r="I34" i="6"/>
  <c r="I130" i="6"/>
  <c r="I123" i="6"/>
  <c r="I116" i="6"/>
  <c r="I77" i="6"/>
  <c r="I68" i="6"/>
  <c r="I86" i="6"/>
  <c r="I14" i="6"/>
  <c r="I21" i="6"/>
  <c r="I26" i="6"/>
  <c r="I32" i="6"/>
  <c r="I36" i="4"/>
  <c r="I18" i="4"/>
  <c r="I27" i="4"/>
  <c r="I38" i="4"/>
  <c r="I30" i="4"/>
  <c r="I31" i="4"/>
  <c r="I20" i="4"/>
  <c r="I24" i="4"/>
  <c r="I29" i="4"/>
  <c r="I15" i="4"/>
  <c r="I35" i="4"/>
  <c r="I129" i="4"/>
  <c r="I122" i="4"/>
  <c r="I115" i="4"/>
  <c r="I131" i="4"/>
  <c r="I117" i="4"/>
  <c r="I132" i="4"/>
  <c r="I128" i="4"/>
  <c r="I125" i="4"/>
  <c r="I121" i="4"/>
  <c r="I118" i="4"/>
  <c r="I114" i="4"/>
  <c r="I127" i="4"/>
  <c r="I120" i="4"/>
  <c r="I130" i="4"/>
  <c r="I126" i="4"/>
  <c r="I123" i="4"/>
  <c r="I119" i="4"/>
  <c r="I116" i="4"/>
  <c r="I112" i="4"/>
  <c r="I124" i="4"/>
  <c r="I113" i="4"/>
  <c r="I63" i="4"/>
  <c r="I76" i="4"/>
  <c r="I14" i="4"/>
  <c r="I19" i="4"/>
  <c r="I23" i="4"/>
  <c r="I28" i="4"/>
  <c r="I34" i="4"/>
  <c r="I62" i="4"/>
  <c r="I66" i="4"/>
  <c r="I71" i="4"/>
  <c r="I75" i="4"/>
  <c r="I80" i="4"/>
  <c r="I84" i="4"/>
  <c r="I72" i="4"/>
  <c r="I85" i="4"/>
  <c r="I12" i="4"/>
  <c r="I16" i="4"/>
  <c r="I21" i="4"/>
  <c r="I25" i="4"/>
  <c r="I32" i="4"/>
  <c r="I37" i="4"/>
  <c r="I64" i="4"/>
  <c r="I69" i="4"/>
  <c r="I73" i="4"/>
  <c r="I78" i="4"/>
  <c r="I82" i="4"/>
  <c r="I87" i="4"/>
  <c r="I67" i="4"/>
  <c r="I81" i="4"/>
  <c r="I13" i="4"/>
  <c r="I17" i="4"/>
  <c r="I22" i="4"/>
  <c r="I26" i="4"/>
  <c r="I33" i="4"/>
  <c r="I65" i="4"/>
  <c r="I70" i="4"/>
  <c r="I74" i="4"/>
  <c r="I79" i="4"/>
  <c r="I83" i="4"/>
  <c r="I38" i="10"/>
  <c r="I33" i="10"/>
  <c r="I37" i="10"/>
  <c r="I32" i="10"/>
  <c r="I36" i="10"/>
  <c r="I31" i="10"/>
  <c r="I35" i="10"/>
  <c r="I30" i="10"/>
  <c r="I14" i="10"/>
  <c r="I19" i="10"/>
  <c r="I24" i="10"/>
  <c r="I16" i="11"/>
  <c r="I20" i="11"/>
  <c r="I24" i="11"/>
  <c r="I13" i="11"/>
  <c r="I17" i="11"/>
  <c r="I21" i="11"/>
  <c r="I25" i="11"/>
  <c r="I14" i="11"/>
  <c r="I18" i="11"/>
  <c r="I22" i="11"/>
  <c r="I15" i="10"/>
  <c r="I20" i="10"/>
  <c r="I25" i="10"/>
  <c r="I12" i="10"/>
  <c r="I17" i="10"/>
  <c r="I22" i="10"/>
  <c r="I13" i="10"/>
  <c r="I18" i="10"/>
  <c r="I23" i="10"/>
  <c r="I12" i="9"/>
  <c r="I23" i="9"/>
  <c r="I14" i="9"/>
  <c r="I24" i="9"/>
  <c r="I18" i="9"/>
  <c r="I19" i="9"/>
  <c r="I16" i="9"/>
  <c r="I22" i="9"/>
  <c r="I15" i="9"/>
  <c r="I20" i="9"/>
  <c r="I13" i="9"/>
  <c r="I17" i="9"/>
  <c r="I21" i="9"/>
  <c r="I26" i="9"/>
  <c r="I18" i="8"/>
  <c r="I26" i="8"/>
  <c r="I13" i="8"/>
  <c r="I21" i="8"/>
  <c r="I29" i="8"/>
  <c r="I14" i="8"/>
  <c r="I22" i="8"/>
  <c r="I30" i="8"/>
  <c r="I17" i="8"/>
  <c r="I25" i="8"/>
  <c r="I15" i="8"/>
  <c r="I19" i="8"/>
  <c r="I23" i="8"/>
  <c r="I27" i="8"/>
  <c r="I31" i="8"/>
  <c r="I12" i="8"/>
  <c r="I16" i="8"/>
  <c r="I20" i="8"/>
  <c r="I24" i="8"/>
  <c r="I28" i="8"/>
  <c r="I32" i="8"/>
  <c r="I122" i="7"/>
  <c r="I115" i="7"/>
  <c r="I128" i="7"/>
  <c r="I121" i="7"/>
  <c r="I114" i="7"/>
  <c r="I132" i="7"/>
  <c r="I127" i="7"/>
  <c r="I125" i="7"/>
  <c r="I120" i="7"/>
  <c r="I118" i="7"/>
  <c r="I113" i="7"/>
  <c r="I131" i="7"/>
  <c r="I126" i="7"/>
  <c r="I124" i="7"/>
  <c r="I119" i="7"/>
  <c r="I117" i="7"/>
  <c r="I112" i="7"/>
  <c r="I129" i="7"/>
  <c r="I65" i="7"/>
  <c r="I74" i="7"/>
  <c r="I62" i="7"/>
  <c r="I66" i="7"/>
  <c r="I71" i="7"/>
  <c r="I75" i="7"/>
  <c r="I80" i="7"/>
  <c r="I84" i="7"/>
  <c r="I15" i="7"/>
  <c r="I20" i="7"/>
  <c r="I24" i="7"/>
  <c r="I29" i="7"/>
  <c r="I33" i="7"/>
  <c r="I38" i="7"/>
  <c r="I63" i="7"/>
  <c r="I67" i="7"/>
  <c r="I72" i="7"/>
  <c r="I76" i="7"/>
  <c r="I81" i="7"/>
  <c r="I85" i="7"/>
  <c r="I12" i="7"/>
  <c r="I16" i="7"/>
  <c r="I21" i="7"/>
  <c r="I25" i="7"/>
  <c r="I30" i="7"/>
  <c r="I34" i="7"/>
  <c r="I64" i="7"/>
  <c r="I69" i="7"/>
  <c r="I73" i="7"/>
  <c r="I78" i="7"/>
  <c r="I82" i="7"/>
  <c r="I87" i="7"/>
  <c r="I70" i="7"/>
  <c r="I79" i="7"/>
  <c r="I88" i="7"/>
  <c r="I132" i="6"/>
  <c r="I127" i="6"/>
  <c r="I125" i="6"/>
  <c r="I120" i="6"/>
  <c r="I118" i="6"/>
  <c r="I113" i="6"/>
  <c r="I131" i="6"/>
  <c r="I126" i="6"/>
  <c r="I124" i="6"/>
  <c r="I119" i="6"/>
  <c r="I117" i="6"/>
  <c r="I112" i="6"/>
  <c r="I129" i="6"/>
  <c r="I122" i="6"/>
  <c r="I115" i="6"/>
  <c r="I128" i="6"/>
  <c r="I121" i="6"/>
  <c r="I114" i="6"/>
  <c r="I85" i="6"/>
  <c r="I81" i="6"/>
  <c r="I76" i="6"/>
  <c r="I72" i="6"/>
  <c r="I67" i="6"/>
  <c r="I63" i="6"/>
  <c r="I84" i="6"/>
  <c r="I80" i="6"/>
  <c r="I75" i="6"/>
  <c r="I71" i="6"/>
  <c r="I66" i="6"/>
  <c r="I62" i="6"/>
  <c r="I88" i="6"/>
  <c r="I83" i="6"/>
  <c r="I79" i="6"/>
  <c r="I74" i="6"/>
  <c r="I70" i="6"/>
  <c r="I65" i="6"/>
  <c r="I87" i="6"/>
  <c r="I82" i="6"/>
  <c r="I78" i="6"/>
  <c r="I73" i="6"/>
  <c r="I69" i="6"/>
  <c r="I64" i="6"/>
  <c r="I15" i="6"/>
  <c r="I20" i="6"/>
  <c r="I24" i="6"/>
  <c r="I29" i="6"/>
  <c r="I33" i="6"/>
  <c r="I38" i="6"/>
  <c r="J8" i="1"/>
  <c r="H45" i="6" l="1"/>
  <c r="E145" i="6"/>
  <c r="C95" i="7"/>
  <c r="C145" i="7"/>
  <c r="D45" i="7"/>
  <c r="D95" i="7"/>
  <c r="D145" i="7"/>
  <c r="E45" i="7"/>
  <c r="E95" i="7"/>
  <c r="E145" i="7"/>
  <c r="G45" i="6"/>
  <c r="G145" i="6"/>
  <c r="H145" i="6"/>
  <c r="I145" i="6"/>
  <c r="F95" i="7"/>
  <c r="C45" i="7"/>
  <c r="J95" i="7"/>
  <c r="J45" i="6"/>
  <c r="G45" i="7"/>
  <c r="G95" i="7"/>
  <c r="F145" i="6"/>
  <c r="G145" i="7"/>
  <c r="H45" i="7"/>
  <c r="H95" i="7"/>
  <c r="H145" i="7"/>
  <c r="I45" i="7"/>
  <c r="I95" i="7"/>
  <c r="I145" i="7"/>
  <c r="I45" i="6"/>
  <c r="J145" i="6"/>
  <c r="F145" i="7"/>
  <c r="J45" i="7"/>
  <c r="J145" i="7"/>
  <c r="D45" i="6"/>
  <c r="E45" i="6"/>
  <c r="C95" i="6"/>
  <c r="E95" i="6"/>
  <c r="C145" i="6"/>
  <c r="D145" i="6"/>
  <c r="G95" i="6"/>
  <c r="F45" i="7"/>
  <c r="C45" i="6"/>
  <c r="I95" i="6"/>
  <c r="E95" i="4"/>
  <c r="C45" i="4"/>
  <c r="D95" i="4"/>
  <c r="E45" i="4"/>
  <c r="F45" i="4"/>
  <c r="C95" i="4"/>
  <c r="J95" i="4"/>
  <c r="D45" i="4"/>
  <c r="G145" i="4"/>
  <c r="F95" i="4"/>
  <c r="H145" i="4"/>
  <c r="G95" i="4"/>
  <c r="G45" i="4"/>
  <c r="H95" i="4"/>
  <c r="I145" i="4"/>
  <c r="I95" i="4"/>
  <c r="I45" i="4"/>
  <c r="J145" i="4"/>
  <c r="J45" i="4"/>
  <c r="E145" i="4"/>
  <c r="F145" i="4"/>
  <c r="C145" i="4"/>
  <c r="H45" i="4"/>
  <c r="D145" i="4"/>
  <c r="I15" i="1"/>
  <c r="I43" i="1"/>
  <c r="I39" i="1"/>
  <c r="I35" i="1"/>
  <c r="I27" i="1"/>
  <c r="I23" i="1"/>
  <c r="I14" i="1"/>
  <c r="I42" i="1"/>
  <c r="I38" i="1"/>
  <c r="I30" i="1"/>
  <c r="I26" i="1"/>
  <c r="I22" i="1"/>
  <c r="I17" i="1"/>
  <c r="I13" i="1"/>
  <c r="I41" i="1"/>
  <c r="I37" i="1"/>
  <c r="I29" i="1"/>
  <c r="I25" i="1"/>
  <c r="I16" i="1"/>
  <c r="I12" i="1"/>
  <c r="I40" i="1"/>
  <c r="I36" i="1"/>
  <c r="I28" i="1"/>
  <c r="I24" i="1"/>
</calcChain>
</file>

<file path=xl/sharedStrings.xml><?xml version="1.0" encoding="utf-8"?>
<sst xmlns="http://schemas.openxmlformats.org/spreadsheetml/2006/main" count="925" uniqueCount="240">
  <si>
    <t>Ceník buňkových tlumičů hluku</t>
  </si>
  <si>
    <t>Tlumiče hluku s děrovaným plechem - typ G</t>
  </si>
  <si>
    <t>zadejte váš rabat</t>
  </si>
  <si>
    <t>ITS102-01</t>
  </si>
  <si>
    <t>Typ tlumiče</t>
  </si>
  <si>
    <t>G200x500x1000 (stěna 60 mm)</t>
  </si>
  <si>
    <t>G250x500x1000 (stěna 80 mm)</t>
  </si>
  <si>
    <t>G200x500x1500 (stěna 60 mm)</t>
  </si>
  <si>
    <t>G250x500x1500 (stěna 80 mm)</t>
  </si>
  <si>
    <t>G200x500x2000 (stěna 60 mm)</t>
  </si>
  <si>
    <t>G250x500x2000 (stěna 80 mm)</t>
  </si>
  <si>
    <t>G300x500x2000 (stěna 100 mm)</t>
  </si>
  <si>
    <t>G400x500x2000 (stěna 100 mm)</t>
  </si>
  <si>
    <t>G500x500x2000 (stěna 120 mm)</t>
  </si>
  <si>
    <t>ITS103-01</t>
  </si>
  <si>
    <t>GH200x500x1000 (stěna 60 mm)</t>
  </si>
  <si>
    <t>GH250x500x1000 (stěna 80 mm)</t>
  </si>
  <si>
    <t>GH200x500x1500 (stěna 60 mm)</t>
  </si>
  <si>
    <t>GH250x500x1500 (stěna 80 mm)</t>
  </si>
  <si>
    <t>GH200x500x2000 (stěna 60 mm)</t>
  </si>
  <si>
    <t>GH250x500x2000 (stěna 80 mm)</t>
  </si>
  <si>
    <t>GH300x500x2000 (stěna 100 mm)</t>
  </si>
  <si>
    <t>GH400x500x2000 (stěna 100 mm)</t>
  </si>
  <si>
    <t>GH500x500x2000 (stěna 120 mm)</t>
  </si>
  <si>
    <t>Tlumiče hluku v kašírovaném provedení - typ GE</t>
  </si>
  <si>
    <t>GE200x500x1000 (stěna 50 mm)</t>
  </si>
  <si>
    <t>GE200x500X1500 (stěna 50 mm)</t>
  </si>
  <si>
    <t>GE250x500x1000 (stěna 80 mm)</t>
  </si>
  <si>
    <t>GE250x500x1500 (stěna 80 mm)</t>
  </si>
  <si>
    <t>GE300x500x1000 (stěna 100 mm)</t>
  </si>
  <si>
    <t>GE300x500x1500 (stěna 100 mm)</t>
  </si>
  <si>
    <t>ITS101-01</t>
  </si>
  <si>
    <t>Uvedené ceny jsou v Kč bez DPH.</t>
  </si>
  <si>
    <t>Cena je stanovena bez dopravy a montáže, EXW Uhlířské Janovice (Incoterms 2000).</t>
  </si>
  <si>
    <t>Informujte se u nás na Vaše rabatové podmínky !</t>
  </si>
  <si>
    <t>Na vyžádání je možné tlumiče vyrobit v atypickém rozměrovém i materiálovém provedení.</t>
  </si>
  <si>
    <t>Společnost Greif-akustika, s.r.o. si vyhrazuje právo na změnu ceníku bez udání důvodu.</t>
  </si>
  <si>
    <t>Tlumiče hluku v hygienickém provedení - typ GH</t>
  </si>
  <si>
    <t>Kulisové tlumiče hluku v kašírovaném provedení - typ GKK</t>
  </si>
  <si>
    <t>ITS111-01</t>
  </si>
  <si>
    <t>Brutto cena</t>
  </si>
  <si>
    <t>Vaše cena</t>
  </si>
  <si>
    <t>Typ kulisy</t>
  </si>
  <si>
    <t>Výška [mm]</t>
  </si>
  <si>
    <t>Délka [mm]</t>
  </si>
  <si>
    <t>Výška kulisy [mm]</t>
  </si>
  <si>
    <t>Příplatky za provedení k typu GKK 100</t>
  </si>
  <si>
    <t>GKK 100
bez
náběhu a výběhu
provedení .0</t>
  </si>
  <si>
    <t>Provedení z pozinkovaného plechu, výplně z minerální plsti kryté děrovaným plechem.</t>
  </si>
  <si>
    <t>Provedení z pozinkovaného plechu, výplně z minerální plsti zavařené ve fólii a kryté děrovaným plechem.</t>
  </si>
  <si>
    <t>Provedení z pozinkovaného plechu, výplně z minerální plsti kryté netkanou kašírovanou textílií.</t>
  </si>
  <si>
    <t>GKK 200
bez
náběhu a výběhu
provedení .0</t>
  </si>
  <si>
    <t>GKK 300
bez
náběhu a výběhu
provedení .0</t>
  </si>
  <si>
    <t>Náběhy a výběhy jsou vyrobeny z pozinkovaného plechu.</t>
  </si>
  <si>
    <t>Příplatky za provedení k typu GKK 200</t>
  </si>
  <si>
    <t>Příplatky za provedení k typu GKK 300</t>
  </si>
  <si>
    <t>Ceník kulisových tlumičů hluku GKK</t>
  </si>
  <si>
    <t>Ceník kulisových tlumičů hluku GKD</t>
  </si>
  <si>
    <t>Kulisové tlumiče hluku v provedení s děrovaným plechem - typ GKD</t>
  </si>
  <si>
    <t>Příplatky za provedení k typu GKD 100</t>
  </si>
  <si>
    <t>GKD 100
bez
náběhu a výběhu
provedení .0</t>
  </si>
  <si>
    <t>ITS112-01</t>
  </si>
  <si>
    <t>Příplatky za provedení k typu GKD 300</t>
  </si>
  <si>
    <t>Příplatky za provedení k typu GKD 200</t>
  </si>
  <si>
    <t>GKD 200
bez
náběhu a výběhu
provedení .0</t>
  </si>
  <si>
    <t>Ceník kulisových tlumičů hluku GKDH</t>
  </si>
  <si>
    <t>Příplatky za provedení k typu GKDH 300</t>
  </si>
  <si>
    <t>GKDH 300
bez
náběhu a výběhu
provedení .0</t>
  </si>
  <si>
    <t>GKDH 200
bez
náběhu a výběhu
provedení .0</t>
  </si>
  <si>
    <t>GKDH 100
bez
náběhu a výběhu
provedení .0</t>
  </si>
  <si>
    <t>ITS113-01</t>
  </si>
  <si>
    <t>Ceník kruhových tlumičů hluku GD</t>
  </si>
  <si>
    <t>ITS122-01</t>
  </si>
  <si>
    <t>Kruhové tlumiče v provedení s děrovaným plechem - typ GD</t>
  </si>
  <si>
    <t>Nátrubek [mm]</t>
  </si>
  <si>
    <t>Ø125</t>
  </si>
  <si>
    <t>Ø200</t>
  </si>
  <si>
    <t>Ø224</t>
  </si>
  <si>
    <t>Ø250</t>
  </si>
  <si>
    <t>Ø280</t>
  </si>
  <si>
    <t>Ø300</t>
  </si>
  <si>
    <t>Ø315</t>
  </si>
  <si>
    <t>Ø355</t>
  </si>
  <si>
    <t>Ø400</t>
  </si>
  <si>
    <t>Ø450</t>
  </si>
  <si>
    <t>Ø500</t>
  </si>
  <si>
    <t>Ø560</t>
  </si>
  <si>
    <t>Ø600</t>
  </si>
  <si>
    <t>Ø630</t>
  </si>
  <si>
    <t>Ø710</t>
  </si>
  <si>
    <t>Ø800</t>
  </si>
  <si>
    <t>Ø100</t>
  </si>
  <si>
    <t>Ø140</t>
  </si>
  <si>
    <t>Ø150</t>
  </si>
  <si>
    <t>Ø160</t>
  </si>
  <si>
    <t>Ø180</t>
  </si>
  <si>
    <t>Nátrubek</t>
  </si>
  <si>
    <t>GD
bez jádra
provedení .0</t>
  </si>
  <si>
    <t>Příplatky za příruby</t>
  </si>
  <si>
    <t>Příruby jsou plechové, lisované v provedení z pozinkovaného plechu. Cena je stanovena pro 1 ks příruby.</t>
  </si>
  <si>
    <t>Ceník kruhových tlumičů hluku GDE</t>
  </si>
  <si>
    <t>Kruhové tlumiče v provedení s děrovaným plechem - typ GDE</t>
  </si>
  <si>
    <t>GDE
s jádrem
provedení .0</t>
  </si>
  <si>
    <t>Ceník tlumičů výfuku motorů GV</t>
  </si>
  <si>
    <t>Tlumiče výfuku motorů - typ GV první stupeň</t>
  </si>
  <si>
    <t>Výkon motoru</t>
  </si>
  <si>
    <t>30 až 200 kVA</t>
  </si>
  <si>
    <t>ITS162-01</t>
  </si>
  <si>
    <t>Ceník akustických materiálů</t>
  </si>
  <si>
    <t>ITS216-01</t>
  </si>
  <si>
    <t>451 až 800 kVA</t>
  </si>
  <si>
    <t>201 až 450 kVA</t>
  </si>
  <si>
    <t>801 až 1200 kVA</t>
  </si>
  <si>
    <t>GV 1200 I°</t>
  </si>
  <si>
    <t>GV 1000 I°</t>
  </si>
  <si>
    <t>GV 800 I°</t>
  </si>
  <si>
    <t>GV 600 I°</t>
  </si>
  <si>
    <t>Provedení z černého plechu, výplň tvoří absorpční materiál balený v teplotně odolných tkaninách a krytý děrovaným plechem.</t>
  </si>
  <si>
    <t>GV 600 II°</t>
  </si>
  <si>
    <t>GV 800 II°</t>
  </si>
  <si>
    <t>GV 1000 II°</t>
  </si>
  <si>
    <t>GV 1200 II°</t>
  </si>
  <si>
    <t>Tlumiče výfuku motorů - typ GV druhý stupeň</t>
  </si>
  <si>
    <t xml:space="preserve">BELAR® je elastická kompozitní hmota zhotovená z  pryžového granulátu pojeného polybutadien-polyuretanovým pojivem. </t>
  </si>
  <si>
    <t xml:space="preserve">Vibro izolační materiál BELAR® </t>
  </si>
  <si>
    <t>Typové označení materiálu</t>
  </si>
  <si>
    <t>BELAR 0,65 1500x500x25 mm</t>
  </si>
  <si>
    <t>BELAR 0,80 1500x500x10 mm</t>
  </si>
  <si>
    <t>BELAR 0,80 1500x500x15 mm</t>
  </si>
  <si>
    <t>BELAR 0,80 1500x500x20 mm</t>
  </si>
  <si>
    <t>BELAR 0,80 1500x500x25 mm</t>
  </si>
  <si>
    <t>BELAR 0,90 1500x500x10 mm</t>
  </si>
  <si>
    <t>BELAR 0,90 1500x500x15 mm</t>
  </si>
  <si>
    <t>BELAR 0,90 1500x500x20 mm</t>
  </si>
  <si>
    <t>BELAR 0,90 1500x500x25 mm</t>
  </si>
  <si>
    <t>BELAR 1,00 1500x500x10 mm</t>
  </si>
  <si>
    <t>BELAR 1,00 1500x500x15 mm</t>
  </si>
  <si>
    <t>BELAR 1,00 1500x500x20 mm</t>
  </si>
  <si>
    <t>BELAR 1,00 1500x500x25 mm</t>
  </si>
  <si>
    <t xml:space="preserve">Vibro izolační materiál RÝHOVANÁ GUMA </t>
  </si>
  <si>
    <t>ITS215-01</t>
  </si>
  <si>
    <t>Rýhovaná guma je určena pro pružné ukládání strojů a zařízení, snižuje přenos vibrací přenášených do konstrukcí.</t>
  </si>
  <si>
    <t>RÝHOVANÁ GUMA 600x300x8 mm</t>
  </si>
  <si>
    <t>Na vyžádání je možné dodat odřezky nabízených materiálů, nebo atypické přířezy.</t>
  </si>
  <si>
    <t>Vibro izolační materiál AMS</t>
  </si>
  <si>
    <t>ITS217-01</t>
  </si>
  <si>
    <t>AMS je syntetický polymer CPE na bázi chlorovaného polyetylénu s minerálním plnivem, aromatickými oleji a dalšími aditivy.</t>
  </si>
  <si>
    <t>Akustické minerální vaty</t>
  </si>
  <si>
    <t>Akustické minerální vaty používané pro tlumení hluku</t>
  </si>
  <si>
    <t>ROCTON 50 kg/m3, 50x1000x500 mm</t>
  </si>
  <si>
    <t>TECHROCK FB1 50 kg/m3, 50x1000x500 mm, černý kašír 1 str.</t>
  </si>
  <si>
    <t>Ceník akustických krytů GAK</t>
  </si>
  <si>
    <t>Akustické kryty chladicích jednotek a tepelných čerpadel - typ GAK</t>
  </si>
  <si>
    <t>ITS140-01</t>
  </si>
  <si>
    <t>Šířka</t>
  </si>
  <si>
    <t>Výška</t>
  </si>
  <si>
    <t>Hloubka</t>
  </si>
  <si>
    <t>Typ krytu GAKE</t>
  </si>
  <si>
    <t>Maximální rozměry jednotky</t>
  </si>
  <si>
    <t>Rozměry akustického krytu</t>
  </si>
  <si>
    <t>Typ krytu GAK1</t>
  </si>
  <si>
    <t>Typ krytu GAK2</t>
  </si>
  <si>
    <t>Typ krytu GAKV</t>
  </si>
  <si>
    <t>Provedení z pozinkovaného nebo lakovaného plechu, výplň z minerální plsti kryté netkanou kašírovanou textílií.</t>
  </si>
  <si>
    <t>Příplatky k akustickým krytům GAK</t>
  </si>
  <si>
    <t>Popis</t>
  </si>
  <si>
    <t>Příplatek za barvu pro kryt typ GAKE</t>
  </si>
  <si>
    <t>Akustické kryty typu GAKE jsou standardně dodávány v pozinkovaném provedení, lakování je za příplatek.</t>
  </si>
  <si>
    <t>Uvedené ceny jsou v Kč bez DPH. Cena je stanovena EXW Uhlířské Janovice (Incoterms 2000).</t>
  </si>
  <si>
    <t>Cena tlumičů v atypickém provedení je stanovena podle nejbližší vyšší ceníkové ceny.</t>
  </si>
  <si>
    <t>GKD 300
bez
náběhu a výběhu
provedení .0</t>
  </si>
  <si>
    <t>Příplatek za barvu dle standardního vzorníku RAL.</t>
  </si>
  <si>
    <t>AMS fólie 2 mm, samolep, 1000x2000 mm</t>
  </si>
  <si>
    <t>AMS fólie 3 mm, samolep, 1000x2000 mm</t>
  </si>
  <si>
    <t>ROCTON 50 kg/m3, 80x1000x500 mm</t>
  </si>
  <si>
    <t>ProRox SL950 80 kg/m3, 100x1000x500 mm</t>
  </si>
  <si>
    <t>Ceny za atypické rozměry, odstíny barev, nebo kombinace barev budou stanoveny individuálně.</t>
  </si>
  <si>
    <t>BELAR 0,65 1500x500x20 mm</t>
  </si>
  <si>
    <t>Uvedené ceny jsou v Kč bez DPH. Cena je bez dopravy a montáže, EXW Uhlířské Janovice (Incoterms 2000).</t>
  </si>
  <si>
    <t>AMS fólie 2 + STRUTO 20 + Al fólie, samolep, 1000x2000 mm</t>
  </si>
  <si>
    <t>V případě potřeby je možné dodat kryt atypických rozměrů, podle potřeb dané jendnotky.</t>
  </si>
  <si>
    <t>(.1) náběh</t>
  </si>
  <si>
    <t>(.2) výběh</t>
  </si>
  <si>
    <t>(.3) náběh + výběh</t>
  </si>
  <si>
    <t>Příruba lisovaná</t>
  </si>
  <si>
    <t>Akustické kryty typu GAK1, GAK2 a GAKV jsou lakovány ve standardních barvách dle RAL (na dotaz).</t>
  </si>
  <si>
    <t>Základní cena</t>
  </si>
  <si>
    <t>ITS150-01</t>
  </si>
  <si>
    <t>Ceník protihlukových digestoří GPHD</t>
  </si>
  <si>
    <t>GPHD 1500x1500x500</t>
  </si>
  <si>
    <t>provedení ZN</t>
  </si>
  <si>
    <t>provedení ZN lakované RAL</t>
  </si>
  <si>
    <t>provedení NEREZ 1.4301</t>
  </si>
  <si>
    <t>provedení NEREZ 1.4404</t>
  </si>
  <si>
    <t>Rám digestoře je vyroben z pozinkovaného, nebo nerezového plechu, výplň z minerální plsti kryté netkanou kašírovanou textílií.</t>
  </si>
  <si>
    <t>GPHD 1200x1200x250</t>
  </si>
  <si>
    <t>Standardní rozměr - průmyslové provedení</t>
  </si>
  <si>
    <t>Zmenšený rozměr - interiérové provedení</t>
  </si>
  <si>
    <t>V případě potřeby je možné dodat digestoř atypických rozměrů, podle potřeb dané instalace.</t>
  </si>
  <si>
    <t>Provedení:</t>
  </si>
  <si>
    <t>vyrobeno z pozinkovaného plechu bez další povrchové úpravy</t>
  </si>
  <si>
    <t>vyrobeno z pozinkovaného plechu, lakovaného ve standardní barvě RAL</t>
  </si>
  <si>
    <t>vyrobeno ze základní potravinové nerezi bez další povrchové úpravy</t>
  </si>
  <si>
    <t>vyrobeno z chemického nerezu bez další povrchové úpravy</t>
  </si>
  <si>
    <t>List č. 2</t>
  </si>
  <si>
    <t>PLATNOST</t>
  </si>
  <si>
    <t>Kulisové tlumiče hluku typ GKK, GKD, GKDH</t>
  </si>
  <si>
    <t>Buňkové tlumiče hluku typ G, GE, GH</t>
  </si>
  <si>
    <t>Kruhové tlumiče hluku typ GD, GDE</t>
  </si>
  <si>
    <t>Tlumiče výfuku typ GV</t>
  </si>
  <si>
    <t>Akustické materiály</t>
  </si>
  <si>
    <t>Akustické kryty typ GAKE, GAK1, GAK2, GAKV</t>
  </si>
  <si>
    <t>Protihluková digestoř typ GPHD</t>
  </si>
  <si>
    <t>List č. 3</t>
  </si>
  <si>
    <t>List č. 12</t>
  </si>
  <si>
    <t>List č. 18</t>
  </si>
  <si>
    <t>List č. 19</t>
  </si>
  <si>
    <t>List č. 20</t>
  </si>
  <si>
    <t>List č. 21</t>
  </si>
  <si>
    <t>Tlumiče jsou učeny pro tlumení hluku výfuku spalovacích motorů (záložních zdrojů, kogeneračních jednotek apod.). Vyráběny jsou ve variantách pro různa paliva.</t>
  </si>
  <si>
    <t>Buňkové tlumiče hluku jsou určeny pro instalaci do potrubí, nebo stavebně připravených kanálů, pro tlumení hluku ventilátorů, VZT jednotek a jiných strojních zařízení.</t>
  </si>
  <si>
    <t>Kruhové tlumiče hluku jsou určené pro instalaci do kruhového potrubí pro tlumení hluku šířeného zejména z axiálních ventilátorů.</t>
  </si>
  <si>
    <t>Vybrané akustické materiály zvyšující neprůzvučnost tenkých konstrukcí, pohltivost nebo izolující od nežádoucích vibrací.</t>
  </si>
  <si>
    <t>Lehké akustické kryty určené pro tlumení hluku tepelných čerpadel, venkovních chladicích jednotek a jiných zdrojů hluku s vlastním přívodem vzduchu.</t>
  </si>
  <si>
    <t>Nosný rám krytu</t>
  </si>
  <si>
    <t>Nosný rám jednotky</t>
  </si>
  <si>
    <t>Nosný rám pro kryt - typ GAKE</t>
  </si>
  <si>
    <t>Nosný rám pro kryt - typ GAK1 nebo GAK2</t>
  </si>
  <si>
    <t>Nosný rám pro kryt - typ GAKV</t>
  </si>
  <si>
    <t>Nosný rám jednotky - pro kryt typu GAKE</t>
  </si>
  <si>
    <t>Nosný rám jednotky - pro kryt typu GAK1 nebo GAK2</t>
  </si>
  <si>
    <t>Nosný rám jednotky - pro kryt typu GAKV</t>
  </si>
  <si>
    <t>Rám je určen pro usazení krytu na nerovný základ, případně pro vedení technologických prostupů. Materiál pozinkovaný lakovaný plech.</t>
  </si>
  <si>
    <t>Rám je určen pro usazení jednotky nad zem ve výšce 250 mm (námraza). Rám je možné propojit s rámem krytu. Materiál pozinkovaný plech.</t>
  </si>
  <si>
    <t>Digestoř je akustický absorbér určený pro tlumení hluku na pracovištích. Instaluje se do blízkosti zdroje, kde svojí přítomností omezuje šíření hluku na další pracoviště.</t>
  </si>
  <si>
    <t>Ø900</t>
  </si>
  <si>
    <t>Ø1000</t>
  </si>
  <si>
    <t>nabídka</t>
  </si>
  <si>
    <t>atyp</t>
  </si>
  <si>
    <t>Ceník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</si>
</sst>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\ \m\m"/>
    <numFmt numFmtId="166" formatCode="dd/mm/yyyy"/>
  </numFmts>
  <fonts count="17" x14ac:knownFonts="1">
    <font>
      <sz val="11"/>
      <color theme="1"/>
      <name val="Corbel"/>
      <family val="2"/>
      <scheme val="minor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F3D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>
      <protection hidden="1"/>
    </xf>
    <xf numFmtId="9" fontId="7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9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4" fontId="12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protection hidden="1"/>
    </xf>
    <xf numFmtId="164" fontId="6" fillId="0" borderId="0" xfId="0" applyNumberFormat="1" applyFont="1" applyBorder="1" applyAlignment="1" applyProtection="1">
      <protection hidden="1"/>
    </xf>
    <xf numFmtId="1" fontId="1" fillId="0" borderId="0" xfId="0" applyNumberFormat="1" applyFont="1" applyProtection="1"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13" fillId="2" borderId="9" xfId="0" applyFont="1" applyFill="1" applyBorder="1" applyAlignment="1" applyProtection="1">
      <alignment horizontal="left" vertical="center" wrapText="1" indent="1"/>
      <protection hidden="1"/>
    </xf>
    <xf numFmtId="0" fontId="13" fillId="2" borderId="20" xfId="0" applyFont="1" applyFill="1" applyBorder="1" applyAlignment="1" applyProtection="1">
      <alignment horizontal="left" vertical="center" wrapText="1" indent="1"/>
      <protection hidden="1"/>
    </xf>
    <xf numFmtId="0" fontId="13" fillId="2" borderId="10" xfId="0" applyFont="1" applyFill="1" applyBorder="1" applyAlignment="1" applyProtection="1">
      <alignment horizontal="left" vertical="center" wrapText="1" indent="1"/>
      <protection hidden="1"/>
    </xf>
    <xf numFmtId="0" fontId="13" fillId="2" borderId="13" xfId="0" applyFont="1" applyFill="1" applyBorder="1" applyAlignment="1" applyProtection="1">
      <alignment horizontal="left" vertical="center" wrapText="1" indent="1"/>
      <protection hidden="1"/>
    </xf>
    <xf numFmtId="0" fontId="13" fillId="2" borderId="15" xfId="0" applyFont="1" applyFill="1" applyBorder="1" applyAlignment="1" applyProtection="1">
      <alignment horizontal="left" vertical="center" wrapText="1" indent="1"/>
      <protection hidden="1"/>
    </xf>
    <xf numFmtId="0" fontId="13" fillId="2" borderId="14" xfId="0" applyFont="1" applyFill="1" applyBorder="1" applyAlignment="1" applyProtection="1">
      <alignment horizontal="left" vertical="center" wrapText="1" indent="1"/>
      <protection hidden="1"/>
    </xf>
    <xf numFmtId="49" fontId="16" fillId="0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16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6" xfId="0" applyFont="1" applyBorder="1" applyAlignment="1" applyProtection="1">
      <alignment horizontal="left" vertical="center" indent="1"/>
      <protection hidden="1"/>
    </xf>
    <xf numFmtId="166" fontId="14" fillId="0" borderId="21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164" fontId="6" fillId="0" borderId="5" xfId="0" applyNumberFormat="1" applyFont="1" applyBorder="1" applyAlignment="1" applyProtection="1">
      <alignment horizontal="center"/>
      <protection hidden="1"/>
    </xf>
    <xf numFmtId="164" fontId="9" fillId="0" borderId="5" xfId="0" applyNumberFormat="1" applyFont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inden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locked="0" hidden="1"/>
    </xf>
    <xf numFmtId="9" fontId="2" fillId="0" borderId="2" xfId="0" applyNumberFormat="1" applyFont="1" applyBorder="1" applyAlignment="1" applyProtection="1">
      <alignment horizontal="center" vertical="center"/>
      <protection locked="0" hidden="1"/>
    </xf>
    <xf numFmtId="9" fontId="2" fillId="0" borderId="3" xfId="0" applyNumberFormat="1" applyFont="1" applyBorder="1" applyAlignment="1" applyProtection="1">
      <alignment horizontal="center" vertical="center"/>
      <protection locked="0" hidden="1"/>
    </xf>
    <xf numFmtId="9" fontId="2" fillId="0" borderId="4" xfId="0" applyNumberFormat="1" applyFont="1" applyBorder="1" applyAlignment="1" applyProtection="1">
      <alignment horizontal="center" vertical="center"/>
      <protection locked="0" hidden="1"/>
    </xf>
    <xf numFmtId="0" fontId="10" fillId="0" borderId="0" xfId="0" applyFont="1" applyFill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8" xfId="0" applyFont="1" applyBorder="1" applyAlignment="1" applyProtection="1">
      <alignment horizontal="left" indent="1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left" indent="1"/>
      <protection hidden="1"/>
    </xf>
    <xf numFmtId="0" fontId="9" fillId="0" borderId="8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64" fontId="9" fillId="0" borderId="7" xfId="0" applyNumberFormat="1" applyFont="1" applyBorder="1" applyAlignment="1" applyProtection="1">
      <alignment horizontal="center"/>
      <protection hidden="1"/>
    </xf>
    <xf numFmtId="164" fontId="9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9" fontId="2" fillId="0" borderId="3" xfId="0" applyNumberFormat="1" applyFont="1" applyFill="1" applyBorder="1" applyAlignment="1" applyProtection="1">
      <alignment horizontal="center" vertical="center"/>
      <protection locked="0" hidden="1"/>
    </xf>
    <xf numFmtId="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8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vertical="center" wrapText="1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/>
    </xf>
    <xf numFmtId="0" fontId="6" fillId="0" borderId="8" xfId="0" applyFont="1" applyBorder="1" applyAlignment="1" applyProtection="1">
      <alignment horizontal="left" vertical="center" wrapText="1" indent="1"/>
      <protection hidden="1"/>
    </xf>
    <xf numFmtId="0" fontId="11" fillId="0" borderId="15" xfId="0" applyFont="1" applyBorder="1" applyAlignment="1" applyProtection="1">
      <alignment horizontal="left" vertical="center" wrapText="1" indent="1"/>
      <protection hidden="1"/>
    </xf>
    <xf numFmtId="0" fontId="4" fillId="0" borderId="7" xfId="0" applyFont="1" applyBorder="1" applyAlignment="1" applyProtection="1">
      <alignment horizontal="left" indent="1"/>
      <protection hidden="1"/>
    </xf>
    <xf numFmtId="0" fontId="4" fillId="0" borderId="16" xfId="0" applyFont="1" applyBorder="1" applyAlignment="1" applyProtection="1">
      <alignment horizontal="left" indent="1"/>
      <protection hidden="1"/>
    </xf>
    <xf numFmtId="0" fontId="4" fillId="0" borderId="8" xfId="0" applyFont="1" applyBorder="1" applyAlignment="1" applyProtection="1">
      <alignment horizontal="left" indent="1"/>
      <protection hidden="1"/>
    </xf>
    <xf numFmtId="164" fontId="6" fillId="0" borderId="9" xfId="0" applyNumberFormat="1" applyFont="1" applyBorder="1" applyAlignment="1" applyProtection="1">
      <alignment horizontal="center" vertic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4" fontId="6" fillId="0" borderId="13" xfId="0" applyNumberFormat="1" applyFont="1" applyBorder="1" applyAlignment="1" applyProtection="1">
      <alignment horizontal="center" vertical="center"/>
      <protection hidden="1"/>
    </xf>
    <xf numFmtId="164" fontId="6" fillId="0" borderId="14" xfId="0" applyNumberFormat="1" applyFont="1" applyBorder="1" applyAlignment="1" applyProtection="1">
      <alignment horizontal="center" vertical="center"/>
      <protection hidden="1"/>
    </xf>
    <xf numFmtId="164" fontId="9" fillId="0" borderId="9" xfId="0" applyNumberFormat="1" applyFont="1" applyBorder="1" applyAlignment="1" applyProtection="1">
      <alignment horizontal="center" vertical="center"/>
      <protection hidden="1"/>
    </xf>
    <xf numFmtId="164" fontId="9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14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wrapText="1" indent="1"/>
      <protection hidden="1"/>
    </xf>
    <xf numFmtId="0" fontId="4" fillId="0" borderId="16" xfId="0" applyFont="1" applyBorder="1" applyAlignment="1" applyProtection="1">
      <alignment horizontal="left" wrapText="1" indent="1"/>
      <protection hidden="1"/>
    </xf>
    <xf numFmtId="0" fontId="4" fillId="0" borderId="8" xfId="0" applyFont="1" applyBorder="1" applyAlignment="1" applyProtection="1">
      <alignment horizontal="left" wrapText="1" indent="1"/>
      <protection hidden="1"/>
    </xf>
    <xf numFmtId="0" fontId="6" fillId="0" borderId="5" xfId="0" applyFont="1" applyBorder="1" applyAlignment="1" applyProtection="1">
      <alignment horizontal="left" vertical="center" wrapText="1" indent="1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 wrapText="1" indent="1"/>
      <protection hidden="1"/>
    </xf>
    <xf numFmtId="0" fontId="9" fillId="0" borderId="7" xfId="0" applyFont="1" applyBorder="1" applyAlignment="1" applyProtection="1">
      <alignment horizontal="left" vertical="center" wrapText="1" indent="1"/>
      <protection hidden="1"/>
    </xf>
    <xf numFmtId="0" fontId="9" fillId="0" borderId="16" xfId="0" applyFont="1" applyBorder="1" applyAlignment="1" applyProtection="1">
      <alignment horizontal="left" vertical="center" wrapText="1" indent="1"/>
      <protection hidden="1"/>
    </xf>
    <xf numFmtId="0" fontId="9" fillId="0" borderId="8" xfId="0" applyFont="1" applyBorder="1" applyAlignment="1" applyProtection="1">
      <alignment horizontal="left" vertical="center" wrapText="1" indent="1"/>
      <protection hidden="1"/>
    </xf>
    <xf numFmtId="164" fontId="9" fillId="0" borderId="5" xfId="0" applyNumberFormat="1" applyFont="1" applyBorder="1" applyAlignment="1" applyProtection="1">
      <alignment horizontal="center" vertical="center"/>
      <protection hidden="1"/>
    </xf>
    <xf numFmtId="165" fontId="6" fillId="0" borderId="17" xfId="0" applyNumberFormat="1" applyFont="1" applyBorder="1" applyAlignment="1" applyProtection="1">
      <alignment horizontal="center" vertical="center" wrapText="1"/>
      <protection hidden="1"/>
    </xf>
    <xf numFmtId="165" fontId="6" fillId="0" borderId="18" xfId="0" applyNumberFormat="1" applyFont="1" applyBorder="1" applyAlignment="1" applyProtection="1">
      <alignment horizontal="center" vertical="center" wrapText="1"/>
      <protection hidden="1"/>
    </xf>
    <xf numFmtId="165" fontId="6" fillId="0" borderId="19" xfId="0" applyNumberFormat="1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6F3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119055</xdr:colOff>
      <xdr:row>8</xdr:row>
      <xdr:rowOff>39686</xdr:rowOff>
    </xdr:from>
    <xdr:to>
      <xdr:col>1</xdr:col>
      <xdr:colOff>488942</xdr:colOff>
      <xdr:row>13</xdr:row>
      <xdr:rowOff>167186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3" r="13350"/>
        <a:stretch/>
      </xdr:blipFill>
      <xdr:spPr>
        <a:xfrm>
          <a:off x="119055" y="1563686"/>
          <a:ext cx="10287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166689</xdr:colOff>
      <xdr:row>14</xdr:row>
      <xdr:rowOff>27535</xdr:rowOff>
    </xdr:from>
    <xdr:to>
      <xdr:col>1</xdr:col>
      <xdr:colOff>374778</xdr:colOff>
      <xdr:row>19</xdr:row>
      <xdr:rowOff>155035</xdr:rowOff>
    </xdr:to>
    <xdr:pic>
      <xdr:nvPicPr>
        <xdr:cNvPr id="20" name="Obrázek 1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0" r="24928"/>
        <a:stretch/>
      </xdr:blipFill>
      <xdr:spPr>
        <a:xfrm>
          <a:off x="166689" y="2694535"/>
          <a:ext cx="866902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79378</xdr:colOff>
      <xdr:row>20</xdr:row>
      <xdr:rowOff>31750</xdr:rowOff>
    </xdr:from>
    <xdr:to>
      <xdr:col>1</xdr:col>
      <xdr:colOff>595316</xdr:colOff>
      <xdr:row>25</xdr:row>
      <xdr:rowOff>159250</xdr:rowOff>
    </xdr:to>
    <xdr:pic>
      <xdr:nvPicPr>
        <xdr:cNvPr id="21" name="Obrázek 20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7" r="10703"/>
        <a:stretch/>
      </xdr:blipFill>
      <xdr:spPr>
        <a:xfrm>
          <a:off x="79378" y="3841750"/>
          <a:ext cx="117475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198436</xdr:colOff>
      <xdr:row>26</xdr:row>
      <xdr:rowOff>31749</xdr:rowOff>
    </xdr:from>
    <xdr:to>
      <xdr:col>1</xdr:col>
      <xdr:colOff>367846</xdr:colOff>
      <xdr:row>31</xdr:row>
      <xdr:rowOff>159249</xdr:rowOff>
    </xdr:to>
    <xdr:pic>
      <xdr:nvPicPr>
        <xdr:cNvPr id="22" name="Obrázek 2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55" b="4528"/>
        <a:stretch/>
      </xdr:blipFill>
      <xdr:spPr>
        <a:xfrm>
          <a:off x="198436" y="4984749"/>
          <a:ext cx="828223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45</xdr:row>
      <xdr:rowOff>15873</xdr:rowOff>
    </xdr:from>
    <xdr:to>
      <xdr:col>1</xdr:col>
      <xdr:colOff>637239</xdr:colOff>
      <xdr:row>48</xdr:row>
      <xdr:rowOff>158748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8588373"/>
          <a:ext cx="1280176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79369</xdr:colOff>
      <xdr:row>32</xdr:row>
      <xdr:rowOff>39689</xdr:rowOff>
    </xdr:from>
    <xdr:to>
      <xdr:col>1</xdr:col>
      <xdr:colOff>500556</xdr:colOff>
      <xdr:row>37</xdr:row>
      <xdr:rowOff>167189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9" y="6135689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38</xdr:row>
      <xdr:rowOff>39684</xdr:rowOff>
    </xdr:from>
    <xdr:to>
      <xdr:col>1</xdr:col>
      <xdr:colOff>568899</xdr:colOff>
      <xdr:row>43</xdr:row>
      <xdr:rowOff>167184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7278684"/>
          <a:ext cx="1172150" cy="108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87315</xdr:colOff>
      <xdr:row>29</xdr:row>
      <xdr:rowOff>95250</xdr:rowOff>
    </xdr:from>
    <xdr:to>
      <xdr:col>8</xdr:col>
      <xdr:colOff>314089</xdr:colOff>
      <xdr:row>43</xdr:row>
      <xdr:rowOff>128250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8" y="5619750"/>
          <a:ext cx="4838461" cy="27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23809</xdr:colOff>
      <xdr:row>0</xdr:row>
      <xdr:rowOff>1</xdr:rowOff>
    </xdr:from>
    <xdr:to>
      <xdr:col>9</xdr:col>
      <xdr:colOff>646496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3809" y="1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45505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5" name="Obrázek 4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6" name="Obrázek 5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16597</xdr:rowOff>
    </xdr:from>
    <xdr:to>
      <xdr:col>9</xdr:col>
      <xdr:colOff>648664</xdr:colOff>
      <xdr:row>104</xdr:row>
      <xdr:rowOff>70256</xdr:rowOff>
    </xdr:to>
    <xdr:pic>
      <xdr:nvPicPr>
        <xdr:cNvPr id="4" name="Obrázek 3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42785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50</xdr:row>
      <xdr:rowOff>24535</xdr:rowOff>
    </xdr:from>
    <xdr:to>
      <xdr:col>9</xdr:col>
      <xdr:colOff>648664</xdr:colOff>
      <xdr:row>54</xdr:row>
      <xdr:rowOff>104171</xdr:rowOff>
    </xdr:to>
    <xdr:pic>
      <xdr:nvPicPr>
        <xdr:cNvPr id="3" name="Obrázek 2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9549535"/>
          <a:ext cx="6552000" cy="817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25977</xdr:colOff>
      <xdr:row>100</xdr:row>
      <xdr:rowOff>24535</xdr:rowOff>
    </xdr:from>
    <xdr:to>
      <xdr:col>9</xdr:col>
      <xdr:colOff>648664</xdr:colOff>
      <xdr:row>104</xdr:row>
      <xdr:rowOff>78194</xdr:rowOff>
    </xdr:to>
    <xdr:pic>
      <xdr:nvPicPr>
        <xdr:cNvPr id="4" name="Obrázek 3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25977" y="19050723"/>
          <a:ext cx="6552000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15877</xdr:rowOff>
    </xdr:from>
    <xdr:ext cx="6552000" cy="815659"/>
    <xdr:pic>
      <xdr:nvPicPr>
        <xdr:cNvPr id="5" name="Obrázek 4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0877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15877</xdr:rowOff>
    </xdr:from>
    <xdr:ext cx="6552000" cy="815659"/>
    <xdr:pic>
      <xdr:nvPicPr>
        <xdr:cNvPr id="6" name="Obrázek 5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4206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32468</xdr:colOff>
      <xdr:row>50</xdr:row>
      <xdr:rowOff>23815</xdr:rowOff>
    </xdr:from>
    <xdr:ext cx="6552000" cy="815659"/>
    <xdr:pic>
      <xdr:nvPicPr>
        <xdr:cNvPr id="3" name="Obrázek 2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9548815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32468</xdr:colOff>
      <xdr:row>100</xdr:row>
      <xdr:rowOff>23815</xdr:rowOff>
    </xdr:from>
    <xdr:ext cx="6552000" cy="815659"/>
    <xdr:pic>
      <xdr:nvPicPr>
        <xdr:cNvPr id="4" name="Obrázek 3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9050003"/>
          <a:ext cx="6552000" cy="8156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32468</xdr:colOff>
      <xdr:row>0</xdr:row>
      <xdr:rowOff>1</xdr:rowOff>
    </xdr:from>
    <xdr:to>
      <xdr:col>9</xdr:col>
      <xdr:colOff>655155</xdr:colOff>
      <xdr:row>4</xdr:row>
      <xdr:rowOff>53660</xdr:rowOff>
    </xdr:to>
    <xdr:pic>
      <xdr:nvPicPr>
        <xdr:cNvPr id="2" name="Obrázek 1" descr="D:\SkyDrive\Dokumenty\11 Katalogy\10 Tlumiče\Greif\Šablona\Titul_01-Hlavní strana.emf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"/>
        <a:stretch/>
      </xdr:blipFill>
      <xdr:spPr bwMode="auto">
        <a:xfrm>
          <a:off x="32468" y="1"/>
          <a:ext cx="6537712" cy="8156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showGridLines="0" tabSelected="1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4" t="s">
        <v>205</v>
      </c>
      <c r="J5" s="54"/>
    </row>
    <row r="6" spans="1:13" ht="15" customHeight="1" x14ac:dyDescent="0.2">
      <c r="A6" s="55" t="s">
        <v>239</v>
      </c>
      <c r="B6" s="55"/>
      <c r="C6" s="55"/>
      <c r="D6" s="55"/>
      <c r="E6" s="55"/>
      <c r="F6" s="55"/>
      <c r="G6" s="55"/>
      <c r="H6" s="56"/>
      <c r="I6" s="57">
        <v>43586</v>
      </c>
      <c r="J6" s="58"/>
    </row>
    <row r="7" spans="1:13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59"/>
      <c r="J7" s="60"/>
    </row>
    <row r="8" spans="1:13" ht="15" customHeight="1" x14ac:dyDescent="0.2">
      <c r="J8" s="2">
        <f>1-I6</f>
        <v>-43585</v>
      </c>
    </row>
    <row r="9" spans="1:13" ht="15" customHeight="1" x14ac:dyDescent="0.2">
      <c r="A9" s="31"/>
      <c r="B9" s="32"/>
      <c r="C9" s="33" t="s">
        <v>207</v>
      </c>
      <c r="D9" s="34"/>
      <c r="E9" s="34"/>
      <c r="F9" s="34"/>
      <c r="G9" s="34"/>
      <c r="H9" s="34"/>
      <c r="I9" s="34"/>
      <c r="J9" s="35"/>
      <c r="L9" s="22"/>
      <c r="M9" s="22"/>
    </row>
    <row r="10" spans="1:13" ht="15" customHeight="1" x14ac:dyDescent="0.2">
      <c r="A10" s="31"/>
      <c r="B10" s="32"/>
      <c r="C10" s="36"/>
      <c r="D10" s="37"/>
      <c r="E10" s="37"/>
      <c r="F10" s="37"/>
      <c r="G10" s="37"/>
      <c r="H10" s="37"/>
      <c r="I10" s="37"/>
      <c r="J10" s="38"/>
    </row>
    <row r="11" spans="1:13" ht="15" customHeight="1" x14ac:dyDescent="0.2">
      <c r="A11" s="31"/>
      <c r="B11" s="31"/>
      <c r="C11" s="39" t="s">
        <v>220</v>
      </c>
      <c r="D11" s="40"/>
      <c r="E11" s="40"/>
      <c r="F11" s="40"/>
      <c r="G11" s="40"/>
      <c r="H11" s="41"/>
      <c r="I11" s="48" t="s">
        <v>204</v>
      </c>
      <c r="J11" s="49"/>
    </row>
    <row r="12" spans="1:13" ht="15" customHeight="1" x14ac:dyDescent="0.2">
      <c r="A12" s="31"/>
      <c r="B12" s="31"/>
      <c r="C12" s="42"/>
      <c r="D12" s="43"/>
      <c r="E12" s="43"/>
      <c r="F12" s="43"/>
      <c r="G12" s="43"/>
      <c r="H12" s="44"/>
      <c r="I12" s="50"/>
      <c r="J12" s="51"/>
    </row>
    <row r="13" spans="1:13" ht="15" customHeight="1" x14ac:dyDescent="0.2">
      <c r="A13" s="31"/>
      <c r="B13" s="31"/>
      <c r="C13" s="42"/>
      <c r="D13" s="43"/>
      <c r="E13" s="43"/>
      <c r="F13" s="43"/>
      <c r="G13" s="43"/>
      <c r="H13" s="44"/>
      <c r="I13" s="50"/>
      <c r="J13" s="51"/>
    </row>
    <row r="14" spans="1:13" ht="15" customHeight="1" x14ac:dyDescent="0.2">
      <c r="A14" s="31"/>
      <c r="B14" s="31"/>
      <c r="C14" s="45"/>
      <c r="D14" s="46"/>
      <c r="E14" s="46"/>
      <c r="F14" s="46"/>
      <c r="G14" s="46"/>
      <c r="H14" s="47"/>
      <c r="I14" s="52"/>
      <c r="J14" s="53"/>
    </row>
    <row r="15" spans="1:13" ht="15" customHeight="1" x14ac:dyDescent="0.2">
      <c r="A15" s="31"/>
      <c r="B15" s="32"/>
      <c r="C15" s="33" t="s">
        <v>206</v>
      </c>
      <c r="D15" s="34"/>
      <c r="E15" s="34"/>
      <c r="F15" s="34"/>
      <c r="G15" s="34"/>
      <c r="H15" s="34"/>
      <c r="I15" s="34"/>
      <c r="J15" s="35"/>
    </row>
    <row r="16" spans="1:13" ht="15" customHeight="1" x14ac:dyDescent="0.2">
      <c r="A16" s="31"/>
      <c r="B16" s="32"/>
      <c r="C16" s="36"/>
      <c r="D16" s="37"/>
      <c r="E16" s="37"/>
      <c r="F16" s="37"/>
      <c r="G16" s="37"/>
      <c r="H16" s="37"/>
      <c r="I16" s="37"/>
      <c r="J16" s="38"/>
    </row>
    <row r="17" spans="1:10" ht="15" customHeight="1" x14ac:dyDescent="0.2">
      <c r="A17" s="31"/>
      <c r="B17" s="31"/>
      <c r="C17" s="39" t="s">
        <v>220</v>
      </c>
      <c r="D17" s="40"/>
      <c r="E17" s="40"/>
      <c r="F17" s="40"/>
      <c r="G17" s="40"/>
      <c r="H17" s="41"/>
      <c r="I17" s="48" t="s">
        <v>213</v>
      </c>
      <c r="J17" s="49"/>
    </row>
    <row r="18" spans="1:10" ht="15" customHeight="1" x14ac:dyDescent="0.2">
      <c r="A18" s="31"/>
      <c r="B18" s="31"/>
      <c r="C18" s="42"/>
      <c r="D18" s="43"/>
      <c r="E18" s="43"/>
      <c r="F18" s="43"/>
      <c r="G18" s="43"/>
      <c r="H18" s="44"/>
      <c r="I18" s="50"/>
      <c r="J18" s="51"/>
    </row>
    <row r="19" spans="1:10" ht="15" customHeight="1" x14ac:dyDescent="0.2">
      <c r="A19" s="31"/>
      <c r="B19" s="31"/>
      <c r="C19" s="42"/>
      <c r="D19" s="43"/>
      <c r="E19" s="43"/>
      <c r="F19" s="43"/>
      <c r="G19" s="43"/>
      <c r="H19" s="44"/>
      <c r="I19" s="50" t="s">
        <v>204</v>
      </c>
      <c r="J19" s="51"/>
    </row>
    <row r="20" spans="1:10" ht="15" customHeight="1" x14ac:dyDescent="0.2">
      <c r="A20" s="31"/>
      <c r="B20" s="31"/>
      <c r="C20" s="45"/>
      <c r="D20" s="46"/>
      <c r="E20" s="46"/>
      <c r="F20" s="46"/>
      <c r="G20" s="46"/>
      <c r="H20" s="47"/>
      <c r="I20" s="52"/>
      <c r="J20" s="53"/>
    </row>
    <row r="21" spans="1:10" ht="15" customHeight="1" x14ac:dyDescent="0.2">
      <c r="A21" s="31"/>
      <c r="B21" s="32"/>
      <c r="C21" s="33" t="s">
        <v>208</v>
      </c>
      <c r="D21" s="34"/>
      <c r="E21" s="34"/>
      <c r="F21" s="34"/>
      <c r="G21" s="34"/>
      <c r="H21" s="34"/>
      <c r="I21" s="34"/>
      <c r="J21" s="35"/>
    </row>
    <row r="22" spans="1:10" ht="15" customHeight="1" x14ac:dyDescent="0.2">
      <c r="A22" s="31"/>
      <c r="B22" s="32"/>
      <c r="C22" s="36"/>
      <c r="D22" s="37"/>
      <c r="E22" s="37"/>
      <c r="F22" s="37"/>
      <c r="G22" s="37"/>
      <c r="H22" s="37"/>
      <c r="I22" s="37"/>
      <c r="J22" s="38"/>
    </row>
    <row r="23" spans="1:10" ht="15" customHeight="1" x14ac:dyDescent="0.2">
      <c r="A23" s="31"/>
      <c r="B23" s="31"/>
      <c r="C23" s="39" t="s">
        <v>221</v>
      </c>
      <c r="D23" s="40"/>
      <c r="E23" s="40"/>
      <c r="F23" s="40"/>
      <c r="G23" s="40"/>
      <c r="H23" s="41"/>
      <c r="I23" s="48" t="s">
        <v>214</v>
      </c>
      <c r="J23" s="49"/>
    </row>
    <row r="24" spans="1:10" ht="15" customHeight="1" x14ac:dyDescent="0.2">
      <c r="A24" s="31"/>
      <c r="B24" s="31"/>
      <c r="C24" s="42"/>
      <c r="D24" s="43"/>
      <c r="E24" s="43"/>
      <c r="F24" s="43"/>
      <c r="G24" s="43"/>
      <c r="H24" s="44"/>
      <c r="I24" s="50"/>
      <c r="J24" s="51"/>
    </row>
    <row r="25" spans="1:10" ht="15" customHeight="1" x14ac:dyDescent="0.2">
      <c r="A25" s="31"/>
      <c r="B25" s="31"/>
      <c r="C25" s="42"/>
      <c r="D25" s="43"/>
      <c r="E25" s="43"/>
      <c r="F25" s="43"/>
      <c r="G25" s="43"/>
      <c r="H25" s="44"/>
      <c r="I25" s="50" t="s">
        <v>204</v>
      </c>
      <c r="J25" s="51"/>
    </row>
    <row r="26" spans="1:10" ht="15" customHeight="1" x14ac:dyDescent="0.2">
      <c r="A26" s="31"/>
      <c r="B26" s="31"/>
      <c r="C26" s="45"/>
      <c r="D26" s="46"/>
      <c r="E26" s="46"/>
      <c r="F26" s="46"/>
      <c r="G26" s="46"/>
      <c r="H26" s="47"/>
      <c r="I26" s="52"/>
      <c r="J26" s="53"/>
    </row>
    <row r="27" spans="1:10" ht="15" customHeight="1" x14ac:dyDescent="0.2">
      <c r="A27" s="31"/>
      <c r="B27" s="32"/>
      <c r="C27" s="33" t="s">
        <v>209</v>
      </c>
      <c r="D27" s="34"/>
      <c r="E27" s="34"/>
      <c r="F27" s="34"/>
      <c r="G27" s="34"/>
      <c r="H27" s="34"/>
      <c r="I27" s="34"/>
      <c r="J27" s="35"/>
    </row>
    <row r="28" spans="1:10" ht="15" customHeight="1" x14ac:dyDescent="0.2">
      <c r="A28" s="31"/>
      <c r="B28" s="32"/>
      <c r="C28" s="36"/>
      <c r="D28" s="37"/>
      <c r="E28" s="37"/>
      <c r="F28" s="37"/>
      <c r="G28" s="37"/>
      <c r="H28" s="37"/>
      <c r="I28" s="37"/>
      <c r="J28" s="38"/>
    </row>
    <row r="29" spans="1:10" ht="15" customHeight="1" x14ac:dyDescent="0.2">
      <c r="A29" s="31"/>
      <c r="B29" s="31"/>
      <c r="C29" s="39" t="s">
        <v>219</v>
      </c>
      <c r="D29" s="40"/>
      <c r="E29" s="40"/>
      <c r="F29" s="40"/>
      <c r="G29" s="40"/>
      <c r="H29" s="41"/>
      <c r="I29" s="48" t="s">
        <v>215</v>
      </c>
      <c r="J29" s="49"/>
    </row>
    <row r="30" spans="1:10" ht="15" customHeight="1" x14ac:dyDescent="0.2">
      <c r="A30" s="31"/>
      <c r="B30" s="31"/>
      <c r="C30" s="42"/>
      <c r="D30" s="43"/>
      <c r="E30" s="43"/>
      <c r="F30" s="43"/>
      <c r="G30" s="43"/>
      <c r="H30" s="44"/>
      <c r="I30" s="50"/>
      <c r="J30" s="51"/>
    </row>
    <row r="31" spans="1:10" ht="15" customHeight="1" x14ac:dyDescent="0.2">
      <c r="A31" s="31"/>
      <c r="B31" s="31"/>
      <c r="C31" s="42"/>
      <c r="D31" s="43"/>
      <c r="E31" s="43"/>
      <c r="F31" s="43"/>
      <c r="G31" s="43"/>
      <c r="H31" s="44"/>
      <c r="I31" s="50" t="s">
        <v>204</v>
      </c>
      <c r="J31" s="51"/>
    </row>
    <row r="32" spans="1:10" ht="15" customHeight="1" x14ac:dyDescent="0.2">
      <c r="A32" s="31"/>
      <c r="B32" s="31"/>
      <c r="C32" s="45"/>
      <c r="D32" s="46"/>
      <c r="E32" s="46"/>
      <c r="F32" s="46"/>
      <c r="G32" s="46"/>
      <c r="H32" s="47"/>
      <c r="I32" s="52"/>
      <c r="J32" s="53"/>
    </row>
    <row r="33" spans="1:10" ht="15" customHeight="1" x14ac:dyDescent="0.2">
      <c r="A33" s="31"/>
      <c r="B33" s="32"/>
      <c r="C33" s="33" t="s">
        <v>210</v>
      </c>
      <c r="D33" s="34"/>
      <c r="E33" s="34"/>
      <c r="F33" s="34"/>
      <c r="G33" s="34"/>
      <c r="H33" s="34"/>
      <c r="I33" s="34"/>
      <c r="J33" s="35"/>
    </row>
    <row r="34" spans="1:10" ht="15" customHeight="1" x14ac:dyDescent="0.2">
      <c r="A34" s="31"/>
      <c r="B34" s="32"/>
      <c r="C34" s="36"/>
      <c r="D34" s="37"/>
      <c r="E34" s="37"/>
      <c r="F34" s="37"/>
      <c r="G34" s="37"/>
      <c r="H34" s="37"/>
      <c r="I34" s="37"/>
      <c r="J34" s="38"/>
    </row>
    <row r="35" spans="1:10" ht="15" customHeight="1" x14ac:dyDescent="0.2">
      <c r="A35" s="31"/>
      <c r="B35" s="31"/>
      <c r="C35" s="39" t="s">
        <v>222</v>
      </c>
      <c r="D35" s="40"/>
      <c r="E35" s="40"/>
      <c r="F35" s="40"/>
      <c r="G35" s="40"/>
      <c r="H35" s="41"/>
      <c r="I35" s="48" t="s">
        <v>216</v>
      </c>
      <c r="J35" s="49"/>
    </row>
    <row r="36" spans="1:10" ht="15" customHeight="1" x14ac:dyDescent="0.2">
      <c r="A36" s="31"/>
      <c r="B36" s="31"/>
      <c r="C36" s="42"/>
      <c r="D36" s="43"/>
      <c r="E36" s="43"/>
      <c r="F36" s="43"/>
      <c r="G36" s="43"/>
      <c r="H36" s="44"/>
      <c r="I36" s="50"/>
      <c r="J36" s="51"/>
    </row>
    <row r="37" spans="1:10" ht="15" customHeight="1" x14ac:dyDescent="0.2">
      <c r="A37" s="31"/>
      <c r="B37" s="31"/>
      <c r="C37" s="42"/>
      <c r="D37" s="43"/>
      <c r="E37" s="43"/>
      <c r="F37" s="43"/>
      <c r="G37" s="43"/>
      <c r="H37" s="44"/>
      <c r="I37" s="50" t="s">
        <v>204</v>
      </c>
      <c r="J37" s="51"/>
    </row>
    <row r="38" spans="1:10" ht="15" customHeight="1" x14ac:dyDescent="0.2">
      <c r="A38" s="31"/>
      <c r="B38" s="31"/>
      <c r="C38" s="45"/>
      <c r="D38" s="46"/>
      <c r="E38" s="46"/>
      <c r="F38" s="46"/>
      <c r="G38" s="46"/>
      <c r="H38" s="47"/>
      <c r="I38" s="52"/>
      <c r="J38" s="53"/>
    </row>
    <row r="39" spans="1:10" ht="15" customHeight="1" x14ac:dyDescent="0.2">
      <c r="A39" s="31"/>
      <c r="B39" s="32"/>
      <c r="C39" s="33" t="s">
        <v>211</v>
      </c>
      <c r="D39" s="34"/>
      <c r="E39" s="34"/>
      <c r="F39" s="34"/>
      <c r="G39" s="34"/>
      <c r="H39" s="34"/>
      <c r="I39" s="34"/>
      <c r="J39" s="35"/>
    </row>
    <row r="40" spans="1:10" ht="15" customHeight="1" x14ac:dyDescent="0.2">
      <c r="A40" s="31"/>
      <c r="B40" s="32"/>
      <c r="C40" s="36"/>
      <c r="D40" s="37"/>
      <c r="E40" s="37"/>
      <c r="F40" s="37"/>
      <c r="G40" s="37"/>
      <c r="H40" s="37"/>
      <c r="I40" s="37"/>
      <c r="J40" s="38"/>
    </row>
    <row r="41" spans="1:10" ht="15" customHeight="1" x14ac:dyDescent="0.2">
      <c r="A41" s="31"/>
      <c r="B41" s="31"/>
      <c r="C41" s="39" t="s">
        <v>223</v>
      </c>
      <c r="D41" s="40"/>
      <c r="E41" s="40"/>
      <c r="F41" s="40"/>
      <c r="G41" s="40"/>
      <c r="H41" s="41"/>
      <c r="I41" s="48" t="s">
        <v>217</v>
      </c>
      <c r="J41" s="49"/>
    </row>
    <row r="42" spans="1:10" ht="15" customHeight="1" x14ac:dyDescent="0.2">
      <c r="A42" s="31"/>
      <c r="B42" s="31"/>
      <c r="C42" s="42"/>
      <c r="D42" s="43"/>
      <c r="E42" s="43"/>
      <c r="F42" s="43"/>
      <c r="G42" s="43"/>
      <c r="H42" s="44"/>
      <c r="I42" s="50"/>
      <c r="J42" s="51"/>
    </row>
    <row r="43" spans="1:10" ht="15" customHeight="1" x14ac:dyDescent="0.2">
      <c r="A43" s="31"/>
      <c r="B43" s="31"/>
      <c r="C43" s="42"/>
      <c r="D43" s="43"/>
      <c r="E43" s="43"/>
      <c r="F43" s="43"/>
      <c r="G43" s="43"/>
      <c r="H43" s="44"/>
      <c r="I43" s="50" t="s">
        <v>204</v>
      </c>
      <c r="J43" s="51"/>
    </row>
    <row r="44" spans="1:10" ht="15" customHeight="1" x14ac:dyDescent="0.2">
      <c r="A44" s="31"/>
      <c r="B44" s="31"/>
      <c r="C44" s="45"/>
      <c r="D44" s="46"/>
      <c r="E44" s="46"/>
      <c r="F44" s="46"/>
      <c r="G44" s="46"/>
      <c r="H44" s="47"/>
      <c r="I44" s="52"/>
      <c r="J44" s="53"/>
    </row>
    <row r="45" spans="1:10" ht="15" customHeight="1" x14ac:dyDescent="0.2">
      <c r="A45" s="31"/>
      <c r="B45" s="32"/>
      <c r="C45" s="33" t="s">
        <v>212</v>
      </c>
      <c r="D45" s="34"/>
      <c r="E45" s="34"/>
      <c r="F45" s="34"/>
      <c r="G45" s="34"/>
      <c r="H45" s="34"/>
      <c r="I45" s="34"/>
      <c r="J45" s="35"/>
    </row>
    <row r="46" spans="1:10" ht="15" customHeight="1" x14ac:dyDescent="0.2">
      <c r="A46" s="31"/>
      <c r="B46" s="32"/>
      <c r="C46" s="36"/>
      <c r="D46" s="37"/>
      <c r="E46" s="37"/>
      <c r="F46" s="37"/>
      <c r="G46" s="37"/>
      <c r="H46" s="37"/>
      <c r="I46" s="37"/>
      <c r="J46" s="38"/>
    </row>
    <row r="47" spans="1:10" ht="15" customHeight="1" x14ac:dyDescent="0.2">
      <c r="A47" s="31"/>
      <c r="B47" s="31"/>
      <c r="C47" s="39" t="s">
        <v>234</v>
      </c>
      <c r="D47" s="40"/>
      <c r="E47" s="40"/>
      <c r="F47" s="40"/>
      <c r="G47" s="40"/>
      <c r="H47" s="41"/>
      <c r="I47" s="48" t="s">
        <v>218</v>
      </c>
      <c r="J47" s="49"/>
    </row>
    <row r="48" spans="1:10" ht="15" customHeight="1" x14ac:dyDescent="0.2">
      <c r="A48" s="31"/>
      <c r="B48" s="31"/>
      <c r="C48" s="42"/>
      <c r="D48" s="43"/>
      <c r="E48" s="43"/>
      <c r="F48" s="43"/>
      <c r="G48" s="43"/>
      <c r="H48" s="44"/>
      <c r="I48" s="50"/>
      <c r="J48" s="51"/>
    </row>
    <row r="49" spans="1:10" ht="15" customHeight="1" x14ac:dyDescent="0.2">
      <c r="A49" s="31"/>
      <c r="B49" s="31"/>
      <c r="C49" s="42"/>
      <c r="D49" s="43"/>
      <c r="E49" s="43"/>
      <c r="F49" s="43"/>
      <c r="G49" s="43"/>
      <c r="H49" s="44"/>
      <c r="I49" s="50" t="s">
        <v>204</v>
      </c>
      <c r="J49" s="51"/>
    </row>
    <row r="50" spans="1:10" ht="15" customHeight="1" x14ac:dyDescent="0.2">
      <c r="A50" s="31"/>
      <c r="B50" s="31"/>
      <c r="C50" s="45"/>
      <c r="D50" s="46"/>
      <c r="E50" s="46"/>
      <c r="F50" s="46"/>
      <c r="G50" s="46"/>
      <c r="H50" s="47"/>
      <c r="I50" s="52"/>
      <c r="J50" s="53"/>
    </row>
    <row r="51" spans="1:10" ht="15" customHeight="1" x14ac:dyDescent="0.2"/>
  </sheetData>
  <sheetProtection password="89B2" sheet="1" objects="1" scenarios="1"/>
  <mergeCells count="31">
    <mergeCell ref="I5:J5"/>
    <mergeCell ref="A6:H7"/>
    <mergeCell ref="I6:J7"/>
    <mergeCell ref="A33:B38"/>
    <mergeCell ref="A9:B14"/>
    <mergeCell ref="C11:H14"/>
    <mergeCell ref="C29:H32"/>
    <mergeCell ref="I29:J32"/>
    <mergeCell ref="C23:H26"/>
    <mergeCell ref="I23:J26"/>
    <mergeCell ref="C27:J28"/>
    <mergeCell ref="C17:H20"/>
    <mergeCell ref="C21:J22"/>
    <mergeCell ref="C9:J10"/>
    <mergeCell ref="I11:J14"/>
    <mergeCell ref="A15:B20"/>
    <mergeCell ref="I17:J20"/>
    <mergeCell ref="C15:J16"/>
    <mergeCell ref="I41:J44"/>
    <mergeCell ref="A39:B44"/>
    <mergeCell ref="C39:J40"/>
    <mergeCell ref="C41:H44"/>
    <mergeCell ref="C33:J34"/>
    <mergeCell ref="C35:H38"/>
    <mergeCell ref="I35:J38"/>
    <mergeCell ref="A45:B50"/>
    <mergeCell ref="C45:J46"/>
    <mergeCell ref="C47:H50"/>
    <mergeCell ref="I47:J50"/>
    <mergeCell ref="A21:B26"/>
    <mergeCell ref="A27:B32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4" t="s">
        <v>2</v>
      </c>
      <c r="J5" s="54"/>
    </row>
    <row r="6" spans="1:10" ht="15" customHeight="1" x14ac:dyDescent="0.2">
      <c r="A6" s="55" t="s">
        <v>151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0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5" t="s">
        <v>152</v>
      </c>
      <c r="B9" s="65"/>
      <c r="C9" s="65"/>
      <c r="D9" s="65"/>
      <c r="E9" s="65"/>
      <c r="F9" s="65"/>
      <c r="G9" s="65"/>
      <c r="H9" s="65"/>
      <c r="I9" s="73" t="s">
        <v>153</v>
      </c>
      <c r="J9" s="73"/>
    </row>
    <row r="10" spans="1:10" ht="15" customHeight="1" x14ac:dyDescent="0.2">
      <c r="A10" s="100" t="s">
        <v>163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 customHeight="1" x14ac:dyDescent="0.25">
      <c r="A11" s="112" t="s">
        <v>157</v>
      </c>
      <c r="B11" s="113"/>
      <c r="C11" s="114"/>
      <c r="D11" s="16" t="s">
        <v>154</v>
      </c>
      <c r="E11" s="16" t="s">
        <v>155</v>
      </c>
      <c r="F11" s="16" t="s">
        <v>156</v>
      </c>
      <c r="G11" s="68" t="s">
        <v>186</v>
      </c>
      <c r="H11" s="68"/>
      <c r="I11" s="68" t="s">
        <v>41</v>
      </c>
      <c r="J11" s="68"/>
    </row>
    <row r="12" spans="1:10" ht="15" customHeight="1" x14ac:dyDescent="0.2">
      <c r="A12" s="97" t="s">
        <v>158</v>
      </c>
      <c r="B12" s="98"/>
      <c r="C12" s="99"/>
      <c r="D12" s="17">
        <v>1100</v>
      </c>
      <c r="E12" s="17">
        <v>1090</v>
      </c>
      <c r="F12" s="17">
        <v>370</v>
      </c>
      <c r="G12" s="104">
        <f>MROUND(29990*$I$8,5)</f>
        <v>30890</v>
      </c>
      <c r="H12" s="105"/>
      <c r="I12" s="108">
        <f t="shared" ref="I12" si="0">ROUND(G12*$J$8,0)</f>
        <v>30890</v>
      </c>
      <c r="J12" s="109"/>
    </row>
    <row r="13" spans="1:10" ht="15" customHeight="1" x14ac:dyDescent="0.2">
      <c r="A13" s="97" t="s">
        <v>159</v>
      </c>
      <c r="B13" s="98"/>
      <c r="C13" s="99"/>
      <c r="D13" s="17">
        <v>1350</v>
      </c>
      <c r="E13" s="17">
        <v>1300</v>
      </c>
      <c r="F13" s="17">
        <v>1600</v>
      </c>
      <c r="G13" s="106"/>
      <c r="H13" s="107"/>
      <c r="I13" s="110"/>
      <c r="J13" s="111"/>
    </row>
    <row r="14" spans="1:10" ht="15" customHeight="1" x14ac:dyDescent="0.25">
      <c r="A14" s="112" t="s">
        <v>160</v>
      </c>
      <c r="B14" s="113"/>
      <c r="C14" s="114"/>
      <c r="D14" s="16" t="s">
        <v>154</v>
      </c>
      <c r="E14" s="16" t="s">
        <v>155</v>
      </c>
      <c r="F14" s="16" t="s">
        <v>156</v>
      </c>
      <c r="G14" s="68" t="s">
        <v>186</v>
      </c>
      <c r="H14" s="68"/>
      <c r="I14" s="68" t="s">
        <v>41</v>
      </c>
      <c r="J14" s="68"/>
    </row>
    <row r="15" spans="1:10" ht="15" customHeight="1" x14ac:dyDescent="0.2">
      <c r="A15" s="97" t="s">
        <v>158</v>
      </c>
      <c r="B15" s="98"/>
      <c r="C15" s="99"/>
      <c r="D15" s="17">
        <v>1050</v>
      </c>
      <c r="E15" s="17">
        <v>1020</v>
      </c>
      <c r="F15" s="17">
        <v>490</v>
      </c>
      <c r="G15" s="104">
        <f>MROUND(39990*$I$8,5)</f>
        <v>41190</v>
      </c>
      <c r="H15" s="105"/>
      <c r="I15" s="108">
        <f t="shared" ref="I15" si="1">ROUND(G15*$J$8,0)</f>
        <v>41190</v>
      </c>
      <c r="J15" s="109"/>
    </row>
    <row r="16" spans="1:10" ht="15" customHeight="1" x14ac:dyDescent="0.2">
      <c r="A16" s="97" t="s">
        <v>159</v>
      </c>
      <c r="B16" s="98"/>
      <c r="C16" s="99"/>
      <c r="D16" s="17">
        <v>1300</v>
      </c>
      <c r="E16" s="17">
        <v>1420</v>
      </c>
      <c r="F16" s="17">
        <v>1610</v>
      </c>
      <c r="G16" s="106"/>
      <c r="H16" s="107"/>
      <c r="I16" s="110"/>
      <c r="J16" s="111"/>
    </row>
    <row r="17" spans="1:10" ht="15" customHeight="1" x14ac:dyDescent="0.25">
      <c r="A17" s="112" t="s">
        <v>161</v>
      </c>
      <c r="B17" s="113"/>
      <c r="C17" s="114"/>
      <c r="D17" s="16" t="s">
        <v>154</v>
      </c>
      <c r="E17" s="16" t="s">
        <v>155</v>
      </c>
      <c r="F17" s="16" t="s">
        <v>156</v>
      </c>
      <c r="G17" s="68" t="s">
        <v>186</v>
      </c>
      <c r="H17" s="68"/>
      <c r="I17" s="68" t="s">
        <v>41</v>
      </c>
      <c r="J17" s="68"/>
    </row>
    <row r="18" spans="1:10" ht="15" customHeight="1" x14ac:dyDescent="0.2">
      <c r="A18" s="97" t="s">
        <v>158</v>
      </c>
      <c r="B18" s="98"/>
      <c r="C18" s="99"/>
      <c r="D18" s="17">
        <v>1050</v>
      </c>
      <c r="E18" s="17">
        <v>1520</v>
      </c>
      <c r="F18" s="17">
        <v>490</v>
      </c>
      <c r="G18" s="104">
        <f>MROUND(59990*$I$8,5)</f>
        <v>61790</v>
      </c>
      <c r="H18" s="105"/>
      <c r="I18" s="108">
        <f t="shared" ref="I18" si="2">ROUND(G18*$J$8,0)</f>
        <v>61790</v>
      </c>
      <c r="J18" s="109"/>
    </row>
    <row r="19" spans="1:10" ht="15" customHeight="1" x14ac:dyDescent="0.2">
      <c r="A19" s="97" t="s">
        <v>159</v>
      </c>
      <c r="B19" s="98"/>
      <c r="C19" s="99"/>
      <c r="D19" s="17">
        <v>1300</v>
      </c>
      <c r="E19" s="17">
        <v>1920</v>
      </c>
      <c r="F19" s="17">
        <v>1610</v>
      </c>
      <c r="G19" s="106"/>
      <c r="H19" s="107"/>
      <c r="I19" s="110"/>
      <c r="J19" s="111"/>
    </row>
    <row r="20" spans="1:10" ht="15" customHeight="1" x14ac:dyDescent="0.25">
      <c r="A20" s="112" t="s">
        <v>162</v>
      </c>
      <c r="B20" s="113"/>
      <c r="C20" s="114"/>
      <c r="D20" s="16" t="s">
        <v>154</v>
      </c>
      <c r="E20" s="16" t="s">
        <v>155</v>
      </c>
      <c r="F20" s="16" t="s">
        <v>156</v>
      </c>
      <c r="G20" s="68" t="s">
        <v>186</v>
      </c>
      <c r="H20" s="68"/>
      <c r="I20" s="68" t="s">
        <v>41</v>
      </c>
      <c r="J20" s="68"/>
    </row>
    <row r="21" spans="1:10" ht="15" customHeight="1" x14ac:dyDescent="0.2">
      <c r="A21" s="97" t="s">
        <v>158</v>
      </c>
      <c r="B21" s="98"/>
      <c r="C21" s="99"/>
      <c r="D21" s="17">
        <v>920</v>
      </c>
      <c r="E21" s="17">
        <v>1780</v>
      </c>
      <c r="F21" s="17">
        <v>740</v>
      </c>
      <c r="G21" s="104">
        <f>MROUND(79990*$I$8,5)</f>
        <v>82390</v>
      </c>
      <c r="H21" s="105"/>
      <c r="I21" s="108">
        <f t="shared" ref="I21" si="3">ROUND(G21*$J$8,0)</f>
        <v>82390</v>
      </c>
      <c r="J21" s="109"/>
    </row>
    <row r="22" spans="1:10" ht="15" customHeight="1" x14ac:dyDescent="0.2">
      <c r="A22" s="97" t="s">
        <v>159</v>
      </c>
      <c r="B22" s="98"/>
      <c r="C22" s="99"/>
      <c r="D22" s="17">
        <v>1150</v>
      </c>
      <c r="E22" s="17">
        <v>2865</v>
      </c>
      <c r="F22" s="17">
        <v>1560</v>
      </c>
      <c r="G22" s="106"/>
      <c r="H22" s="107"/>
      <c r="I22" s="110"/>
      <c r="J22" s="111"/>
    </row>
    <row r="23" spans="1:10" ht="15" customHeight="1" x14ac:dyDescent="0.2">
      <c r="A23" s="18"/>
      <c r="B23" s="18"/>
      <c r="C23" s="18"/>
      <c r="D23" s="14"/>
      <c r="E23" s="14"/>
      <c r="F23" s="14"/>
      <c r="G23" s="15"/>
      <c r="H23" s="15"/>
      <c r="I23" s="19"/>
      <c r="J23" s="20"/>
    </row>
    <row r="24" spans="1:10" ht="15" customHeight="1" x14ac:dyDescent="0.25">
      <c r="A24" s="65" t="s">
        <v>224</v>
      </c>
      <c r="B24" s="65"/>
      <c r="C24" s="65"/>
      <c r="D24" s="65"/>
      <c r="E24" s="65"/>
      <c r="F24" s="65"/>
      <c r="G24" s="65"/>
      <c r="H24" s="65"/>
      <c r="I24" s="73" t="s">
        <v>153</v>
      </c>
      <c r="J24" s="73"/>
    </row>
    <row r="25" spans="1:10" ht="15" customHeight="1" x14ac:dyDescent="0.2">
      <c r="A25" s="100" t="s">
        <v>232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5" customHeight="1" x14ac:dyDescent="0.25">
      <c r="A26" s="112" t="s">
        <v>165</v>
      </c>
      <c r="B26" s="113"/>
      <c r="C26" s="113"/>
      <c r="D26" s="113"/>
      <c r="E26" s="113"/>
      <c r="F26" s="114"/>
      <c r="G26" s="68" t="s">
        <v>186</v>
      </c>
      <c r="H26" s="68"/>
      <c r="I26" s="68" t="s">
        <v>41</v>
      </c>
      <c r="J26" s="68"/>
    </row>
    <row r="27" spans="1:10" ht="15" customHeight="1" x14ac:dyDescent="0.2">
      <c r="A27" s="97" t="s">
        <v>226</v>
      </c>
      <c r="B27" s="98"/>
      <c r="C27" s="98"/>
      <c r="D27" s="98"/>
      <c r="E27" s="98"/>
      <c r="F27" s="99"/>
      <c r="G27" s="63">
        <f>MROUND(3990*$I$8,5)</f>
        <v>4110</v>
      </c>
      <c r="H27" s="63"/>
      <c r="I27" s="64">
        <f t="shared" ref="I27" si="4">ROUND(G27*$J$8,0)</f>
        <v>4110</v>
      </c>
      <c r="J27" s="64"/>
    </row>
    <row r="28" spans="1:10" ht="15" customHeight="1" x14ac:dyDescent="0.2">
      <c r="A28" s="97" t="s">
        <v>227</v>
      </c>
      <c r="B28" s="98"/>
      <c r="C28" s="98"/>
      <c r="D28" s="98"/>
      <c r="E28" s="98"/>
      <c r="F28" s="99"/>
      <c r="G28" s="63">
        <f>MROUND(7490*$I$8,5)</f>
        <v>7715</v>
      </c>
      <c r="H28" s="63"/>
      <c r="I28" s="64">
        <f t="shared" ref="I28:I29" si="5">ROUND(G28*$J$8,0)</f>
        <v>7715</v>
      </c>
      <c r="J28" s="64"/>
    </row>
    <row r="29" spans="1:10" ht="15" customHeight="1" x14ac:dyDescent="0.2">
      <c r="A29" s="97" t="s">
        <v>228</v>
      </c>
      <c r="B29" s="98"/>
      <c r="C29" s="98"/>
      <c r="D29" s="98"/>
      <c r="E29" s="98"/>
      <c r="F29" s="99"/>
      <c r="G29" s="63">
        <f>MROUND(6490*$I$8,5)</f>
        <v>6685</v>
      </c>
      <c r="H29" s="63"/>
      <c r="I29" s="64">
        <f t="shared" si="5"/>
        <v>6685</v>
      </c>
      <c r="J29" s="64"/>
    </row>
    <row r="30" spans="1:10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 customHeight="1" x14ac:dyDescent="0.25">
      <c r="A31" s="65" t="s">
        <v>225</v>
      </c>
      <c r="B31" s="65"/>
      <c r="C31" s="65"/>
      <c r="D31" s="65"/>
      <c r="E31" s="65"/>
      <c r="F31" s="65"/>
      <c r="G31" s="65"/>
      <c r="H31" s="65"/>
      <c r="I31" s="73" t="s">
        <v>153</v>
      </c>
      <c r="J31" s="73"/>
    </row>
    <row r="32" spans="1:10" ht="15" customHeight="1" x14ac:dyDescent="0.2">
      <c r="A32" s="100" t="s">
        <v>233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5" customHeight="1" x14ac:dyDescent="0.25">
      <c r="A33" s="112" t="s">
        <v>165</v>
      </c>
      <c r="B33" s="113"/>
      <c r="C33" s="113"/>
      <c r="D33" s="113"/>
      <c r="E33" s="113"/>
      <c r="F33" s="114"/>
      <c r="G33" s="68" t="s">
        <v>186</v>
      </c>
      <c r="H33" s="68"/>
      <c r="I33" s="68" t="s">
        <v>41</v>
      </c>
      <c r="J33" s="68"/>
    </row>
    <row r="34" spans="1:10" ht="15" customHeight="1" x14ac:dyDescent="0.2">
      <c r="A34" s="97" t="s">
        <v>229</v>
      </c>
      <c r="B34" s="98"/>
      <c r="C34" s="98"/>
      <c r="D34" s="98"/>
      <c r="E34" s="98"/>
      <c r="F34" s="99"/>
      <c r="G34" s="63">
        <f>MROUND(2000*$I$8,5)</f>
        <v>2060</v>
      </c>
      <c r="H34" s="63"/>
      <c r="I34" s="64">
        <f t="shared" ref="I34:I36" si="6">ROUND(G34*$J$8,0)</f>
        <v>2060</v>
      </c>
      <c r="J34" s="64"/>
    </row>
    <row r="35" spans="1:10" ht="15" customHeight="1" x14ac:dyDescent="0.2">
      <c r="A35" s="97" t="s">
        <v>230</v>
      </c>
      <c r="B35" s="98"/>
      <c r="C35" s="98"/>
      <c r="D35" s="98"/>
      <c r="E35" s="98"/>
      <c r="F35" s="99"/>
      <c r="G35" s="63">
        <f>MROUND(4500*$I$8,5)</f>
        <v>4635</v>
      </c>
      <c r="H35" s="63"/>
      <c r="I35" s="64">
        <f t="shared" si="6"/>
        <v>4635</v>
      </c>
      <c r="J35" s="64"/>
    </row>
    <row r="36" spans="1:10" ht="15" customHeight="1" x14ac:dyDescent="0.2">
      <c r="A36" s="97" t="s">
        <v>231</v>
      </c>
      <c r="B36" s="98"/>
      <c r="C36" s="98"/>
      <c r="D36" s="98"/>
      <c r="E36" s="98"/>
      <c r="F36" s="99"/>
      <c r="G36" s="63">
        <f>MROUND(3500*$I$8,5)</f>
        <v>3605</v>
      </c>
      <c r="H36" s="63"/>
      <c r="I36" s="64">
        <f t="shared" si="6"/>
        <v>3605</v>
      </c>
      <c r="J36" s="64"/>
    </row>
    <row r="37" spans="1:10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customHeight="1" x14ac:dyDescent="0.25">
      <c r="A38" s="65" t="s">
        <v>164</v>
      </c>
      <c r="B38" s="65"/>
      <c r="C38" s="65"/>
      <c r="D38" s="65"/>
      <c r="E38" s="65"/>
      <c r="F38" s="65"/>
      <c r="G38" s="65"/>
      <c r="H38" s="65"/>
      <c r="I38" s="73"/>
      <c r="J38" s="73"/>
    </row>
    <row r="39" spans="1:10" ht="15" customHeight="1" x14ac:dyDescent="0.2">
      <c r="A39" s="100" t="s">
        <v>171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5" customHeight="1" x14ac:dyDescent="0.25">
      <c r="A40" s="112" t="s">
        <v>165</v>
      </c>
      <c r="B40" s="113"/>
      <c r="C40" s="113"/>
      <c r="D40" s="113"/>
      <c r="E40" s="113"/>
      <c r="F40" s="114"/>
      <c r="G40" s="68" t="s">
        <v>186</v>
      </c>
      <c r="H40" s="68"/>
      <c r="I40" s="68" t="s">
        <v>41</v>
      </c>
      <c r="J40" s="68"/>
    </row>
    <row r="41" spans="1:10" ht="15" customHeight="1" x14ac:dyDescent="0.2">
      <c r="A41" s="97" t="s">
        <v>166</v>
      </c>
      <c r="B41" s="98"/>
      <c r="C41" s="98"/>
      <c r="D41" s="98"/>
      <c r="E41" s="98"/>
      <c r="F41" s="99"/>
      <c r="G41" s="63">
        <f>MROUND(4800*$I$8,5)</f>
        <v>4945</v>
      </c>
      <c r="H41" s="63"/>
      <c r="I41" s="64">
        <f t="shared" ref="I41" si="7">ROUND(G41*$J$8,0)</f>
        <v>4945</v>
      </c>
      <c r="J41" s="64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 t="s">
        <v>32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 t="s">
        <v>33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185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167</v>
      </c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180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176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73">
    <mergeCell ref="A34:F34"/>
    <mergeCell ref="G33:H33"/>
    <mergeCell ref="I33:J33"/>
    <mergeCell ref="A40:F40"/>
    <mergeCell ref="G40:H40"/>
    <mergeCell ref="I40:J40"/>
    <mergeCell ref="A39:J39"/>
    <mergeCell ref="I38:J38"/>
    <mergeCell ref="A38:H38"/>
    <mergeCell ref="A36:F36"/>
    <mergeCell ref="G36:H36"/>
    <mergeCell ref="I36:J36"/>
    <mergeCell ref="G34:H34"/>
    <mergeCell ref="I34:J34"/>
    <mergeCell ref="A35:F35"/>
    <mergeCell ref="G35:H35"/>
    <mergeCell ref="I35:J35"/>
    <mergeCell ref="A41:F41"/>
    <mergeCell ref="G41:H41"/>
    <mergeCell ref="I41:J41"/>
    <mergeCell ref="G26:H26"/>
    <mergeCell ref="I26:J26"/>
    <mergeCell ref="I28:J28"/>
    <mergeCell ref="A28:F28"/>
    <mergeCell ref="G27:H27"/>
    <mergeCell ref="I27:J27"/>
    <mergeCell ref="A29:F29"/>
    <mergeCell ref="G29:H29"/>
    <mergeCell ref="I29:J29"/>
    <mergeCell ref="A31:H31"/>
    <mergeCell ref="I31:J31"/>
    <mergeCell ref="A32:J32"/>
    <mergeCell ref="A33:F33"/>
    <mergeCell ref="G20:H20"/>
    <mergeCell ref="I20:J20"/>
    <mergeCell ref="A20:C20"/>
    <mergeCell ref="A21:C21"/>
    <mergeCell ref="G21:H22"/>
    <mergeCell ref="I21:J22"/>
    <mergeCell ref="A22:C22"/>
    <mergeCell ref="A24:H24"/>
    <mergeCell ref="I24:J24"/>
    <mergeCell ref="A25:J25"/>
    <mergeCell ref="A27:F27"/>
    <mergeCell ref="G28:H28"/>
    <mergeCell ref="A26:F26"/>
    <mergeCell ref="G18:H19"/>
    <mergeCell ref="I18:J19"/>
    <mergeCell ref="A19:C19"/>
    <mergeCell ref="G17:H17"/>
    <mergeCell ref="I17:J17"/>
    <mergeCell ref="A17:C17"/>
    <mergeCell ref="A18:C18"/>
    <mergeCell ref="G15:H16"/>
    <mergeCell ref="I15:J16"/>
    <mergeCell ref="A16:C16"/>
    <mergeCell ref="G14:H14"/>
    <mergeCell ref="I14:J14"/>
    <mergeCell ref="A14:C14"/>
    <mergeCell ref="A15:C15"/>
    <mergeCell ref="A13:C13"/>
    <mergeCell ref="G12:H13"/>
    <mergeCell ref="I12:J13"/>
    <mergeCell ref="G11:H11"/>
    <mergeCell ref="I11:J11"/>
    <mergeCell ref="A11:C11"/>
    <mergeCell ref="A12:C12"/>
    <mergeCell ref="A10:J10"/>
    <mergeCell ref="I5:J5"/>
    <mergeCell ref="A6:H7"/>
    <mergeCell ref="I6:J7"/>
    <mergeCell ref="A9:H9"/>
    <mergeCell ref="I9:J9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4" t="s">
        <v>2</v>
      </c>
      <c r="J5" s="54"/>
    </row>
    <row r="6" spans="1:10" ht="15" customHeight="1" x14ac:dyDescent="0.2">
      <c r="A6" s="55" t="s">
        <v>188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0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5" t="s">
        <v>196</v>
      </c>
      <c r="B9" s="65"/>
      <c r="C9" s="65"/>
      <c r="D9" s="65"/>
      <c r="E9" s="65"/>
      <c r="F9" s="65"/>
      <c r="G9" s="65"/>
      <c r="H9" s="65"/>
      <c r="I9" s="73" t="s">
        <v>187</v>
      </c>
      <c r="J9" s="73"/>
    </row>
    <row r="10" spans="1:10" ht="15" customHeight="1" x14ac:dyDescent="0.2">
      <c r="A10" s="100" t="s">
        <v>194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 customHeight="1" x14ac:dyDescent="0.25">
      <c r="A11" s="112" t="s">
        <v>189</v>
      </c>
      <c r="B11" s="113"/>
      <c r="C11" s="114"/>
      <c r="D11" s="16" t="s">
        <v>154</v>
      </c>
      <c r="E11" s="16" t="s">
        <v>156</v>
      </c>
      <c r="F11" s="16" t="s">
        <v>155</v>
      </c>
      <c r="G11" s="68" t="s">
        <v>186</v>
      </c>
      <c r="H11" s="68"/>
      <c r="I11" s="68" t="s">
        <v>41</v>
      </c>
      <c r="J11" s="68"/>
    </row>
    <row r="12" spans="1:10" ht="15" customHeight="1" x14ac:dyDescent="0.2">
      <c r="A12" s="97" t="s">
        <v>190</v>
      </c>
      <c r="B12" s="98"/>
      <c r="C12" s="99"/>
      <c r="D12" s="122">
        <v>1500</v>
      </c>
      <c r="E12" s="122">
        <v>1500</v>
      </c>
      <c r="F12" s="122">
        <v>500</v>
      </c>
      <c r="G12" s="116">
        <f>MROUND(27690*$I$8,5)</f>
        <v>28520</v>
      </c>
      <c r="H12" s="116"/>
      <c r="I12" s="121">
        <f t="shared" ref="I12" si="0">ROUND(G12*$J$8,0)</f>
        <v>28520</v>
      </c>
      <c r="J12" s="121"/>
    </row>
    <row r="13" spans="1:10" ht="15" customHeight="1" x14ac:dyDescent="0.2">
      <c r="A13" s="118" t="s">
        <v>191</v>
      </c>
      <c r="B13" s="119"/>
      <c r="C13" s="120"/>
      <c r="D13" s="123"/>
      <c r="E13" s="123"/>
      <c r="F13" s="123"/>
      <c r="G13" s="116">
        <f>MROUND(31090*$I$8,5)</f>
        <v>32025</v>
      </c>
      <c r="H13" s="116"/>
      <c r="I13" s="121">
        <f t="shared" ref="I13:I15" si="1">ROUND(G13*$J$8,0)</f>
        <v>32025</v>
      </c>
      <c r="J13" s="121"/>
    </row>
    <row r="14" spans="1:10" ht="15" customHeight="1" x14ac:dyDescent="0.2">
      <c r="A14" s="97" t="s">
        <v>192</v>
      </c>
      <c r="B14" s="98"/>
      <c r="C14" s="99"/>
      <c r="D14" s="123"/>
      <c r="E14" s="123"/>
      <c r="F14" s="123"/>
      <c r="G14" s="116">
        <f>MROUND(52490*$I$8,5)</f>
        <v>54065</v>
      </c>
      <c r="H14" s="116"/>
      <c r="I14" s="121">
        <f t="shared" si="1"/>
        <v>54065</v>
      </c>
      <c r="J14" s="121"/>
    </row>
    <row r="15" spans="1:10" ht="15" customHeight="1" x14ac:dyDescent="0.2">
      <c r="A15" s="97" t="s">
        <v>193</v>
      </c>
      <c r="B15" s="98"/>
      <c r="C15" s="99"/>
      <c r="D15" s="124"/>
      <c r="E15" s="124"/>
      <c r="F15" s="124"/>
      <c r="G15" s="116">
        <f>MROUND(59990*$I$8,5)</f>
        <v>61790</v>
      </c>
      <c r="H15" s="116"/>
      <c r="I15" s="121">
        <f t="shared" si="1"/>
        <v>61790</v>
      </c>
      <c r="J15" s="121"/>
    </row>
    <row r="16" spans="1:10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5">
      <c r="A17" s="65" t="s">
        <v>197</v>
      </c>
      <c r="B17" s="65"/>
      <c r="C17" s="65"/>
      <c r="D17" s="65"/>
      <c r="E17" s="65"/>
      <c r="F17" s="65"/>
      <c r="G17" s="65"/>
      <c r="H17" s="65"/>
      <c r="I17" s="73" t="s">
        <v>187</v>
      </c>
      <c r="J17" s="73"/>
    </row>
    <row r="18" spans="1:10" ht="15" customHeight="1" x14ac:dyDescent="0.2">
      <c r="A18" s="100" t="s">
        <v>194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5" customHeight="1" x14ac:dyDescent="0.25">
      <c r="A19" s="112" t="s">
        <v>195</v>
      </c>
      <c r="B19" s="113"/>
      <c r="C19" s="114"/>
      <c r="D19" s="16" t="s">
        <v>154</v>
      </c>
      <c r="E19" s="16" t="s">
        <v>156</v>
      </c>
      <c r="F19" s="16" t="s">
        <v>155</v>
      </c>
      <c r="G19" s="68" t="s">
        <v>186</v>
      </c>
      <c r="H19" s="68"/>
      <c r="I19" s="68" t="s">
        <v>41</v>
      </c>
      <c r="J19" s="68"/>
    </row>
    <row r="20" spans="1:10" ht="15" customHeight="1" x14ac:dyDescent="0.2">
      <c r="A20" s="97" t="s">
        <v>190</v>
      </c>
      <c r="B20" s="98"/>
      <c r="C20" s="99"/>
      <c r="D20" s="122">
        <v>1200</v>
      </c>
      <c r="E20" s="122">
        <v>1200</v>
      </c>
      <c r="F20" s="122">
        <v>250</v>
      </c>
      <c r="G20" s="116">
        <f>MROUND(24290*$I$8,5)</f>
        <v>25020</v>
      </c>
      <c r="H20" s="116"/>
      <c r="I20" s="121">
        <f t="shared" ref="I20" si="2">ROUND(G20*$J$8,0)</f>
        <v>25020</v>
      </c>
      <c r="J20" s="121"/>
    </row>
    <row r="21" spans="1:10" ht="15" customHeight="1" x14ac:dyDescent="0.2">
      <c r="A21" s="118" t="s">
        <v>191</v>
      </c>
      <c r="B21" s="119"/>
      <c r="C21" s="120"/>
      <c r="D21" s="123"/>
      <c r="E21" s="123"/>
      <c r="F21" s="123"/>
      <c r="G21" s="116">
        <f>MROUND(27290*$I$8,5)</f>
        <v>28110</v>
      </c>
      <c r="H21" s="116"/>
      <c r="I21" s="121">
        <f t="shared" ref="I21:I23" si="3">ROUND(G21*$J$8,0)</f>
        <v>28110</v>
      </c>
      <c r="J21" s="121"/>
    </row>
    <row r="22" spans="1:10" ht="15" customHeight="1" x14ac:dyDescent="0.2">
      <c r="A22" s="97" t="s">
        <v>192</v>
      </c>
      <c r="B22" s="98"/>
      <c r="C22" s="99"/>
      <c r="D22" s="123"/>
      <c r="E22" s="123"/>
      <c r="F22" s="123"/>
      <c r="G22" s="116">
        <f>MROUND(44390*$I$8,5)</f>
        <v>45720</v>
      </c>
      <c r="H22" s="116"/>
      <c r="I22" s="121">
        <f t="shared" si="3"/>
        <v>45720</v>
      </c>
      <c r="J22" s="121"/>
    </row>
    <row r="23" spans="1:10" ht="15" customHeight="1" x14ac:dyDescent="0.2">
      <c r="A23" s="97" t="s">
        <v>193</v>
      </c>
      <c r="B23" s="98"/>
      <c r="C23" s="99"/>
      <c r="D23" s="124"/>
      <c r="E23" s="124"/>
      <c r="F23" s="124"/>
      <c r="G23" s="116">
        <f>MROUND(49990*$I$8,5)</f>
        <v>51490</v>
      </c>
      <c r="H23" s="116"/>
      <c r="I23" s="121">
        <f t="shared" si="3"/>
        <v>51490</v>
      </c>
      <c r="J23" s="121"/>
    </row>
    <row r="24" spans="1:10" ht="1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">
      <c r="A25" s="117" t="s">
        <v>199</v>
      </c>
      <c r="B25" s="117"/>
      <c r="C25" s="117"/>
      <c r="D25" s="18"/>
      <c r="E25" s="18"/>
      <c r="F25" s="18"/>
      <c r="G25" s="18"/>
      <c r="H25" s="18"/>
      <c r="I25" s="18"/>
      <c r="J25" s="18"/>
    </row>
    <row r="26" spans="1:10" ht="15" customHeight="1" x14ac:dyDescent="0.2">
      <c r="A26" s="97" t="s">
        <v>190</v>
      </c>
      <c r="B26" s="98"/>
      <c r="C26" s="99"/>
      <c r="D26" s="115" t="s">
        <v>200</v>
      </c>
      <c r="E26" s="115"/>
      <c r="F26" s="115"/>
      <c r="G26" s="115"/>
      <c r="H26" s="115"/>
      <c r="I26" s="115"/>
      <c r="J26" s="115"/>
    </row>
    <row r="27" spans="1:10" ht="15" customHeight="1" x14ac:dyDescent="0.2">
      <c r="A27" s="118" t="s">
        <v>191</v>
      </c>
      <c r="B27" s="119"/>
      <c r="C27" s="120"/>
      <c r="D27" s="115" t="s">
        <v>201</v>
      </c>
      <c r="E27" s="115"/>
      <c r="F27" s="115"/>
      <c r="G27" s="115"/>
      <c r="H27" s="115"/>
      <c r="I27" s="115"/>
      <c r="J27" s="115"/>
    </row>
    <row r="28" spans="1:10" ht="15" customHeight="1" x14ac:dyDescent="0.2">
      <c r="A28" s="97" t="s">
        <v>192</v>
      </c>
      <c r="B28" s="98"/>
      <c r="C28" s="99"/>
      <c r="D28" s="115" t="s">
        <v>202</v>
      </c>
      <c r="E28" s="115"/>
      <c r="F28" s="115"/>
      <c r="G28" s="115"/>
      <c r="H28" s="115"/>
      <c r="I28" s="115"/>
      <c r="J28" s="115"/>
    </row>
    <row r="29" spans="1:10" ht="15" customHeight="1" x14ac:dyDescent="0.2">
      <c r="A29" s="97" t="s">
        <v>193</v>
      </c>
      <c r="B29" s="98"/>
      <c r="C29" s="99"/>
      <c r="D29" s="115" t="s">
        <v>203</v>
      </c>
      <c r="E29" s="115"/>
      <c r="F29" s="115"/>
      <c r="G29" s="115"/>
      <c r="H29" s="115"/>
      <c r="I29" s="115"/>
      <c r="J29" s="115"/>
    </row>
    <row r="30" spans="1:10" ht="1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5" customHeight="1" x14ac:dyDescent="0.2">
      <c r="A40" s="18"/>
      <c r="B40" s="18"/>
      <c r="C40" s="18"/>
      <c r="D40" s="18"/>
      <c r="E40" s="18"/>
      <c r="F40" s="18"/>
      <c r="G40" s="6"/>
      <c r="H40" s="6"/>
      <c r="I40" s="7"/>
      <c r="J40" s="7"/>
    </row>
    <row r="41" spans="1:10" ht="15" customHeight="1" x14ac:dyDescent="0.2">
      <c r="A41" s="18"/>
      <c r="B41" s="18"/>
      <c r="C41" s="18"/>
      <c r="D41" s="18"/>
      <c r="E41" s="18"/>
      <c r="F41" s="18"/>
      <c r="G41" s="6"/>
      <c r="H41" s="6"/>
      <c r="I41" s="7"/>
      <c r="J41" s="7"/>
    </row>
    <row r="42" spans="1:10" ht="15" customHeight="1" x14ac:dyDescent="0.2">
      <c r="A42" s="18"/>
      <c r="B42" s="18"/>
      <c r="C42" s="18"/>
      <c r="D42" s="18"/>
      <c r="E42" s="18"/>
      <c r="F42" s="18"/>
      <c r="G42" s="6"/>
      <c r="H42" s="6"/>
      <c r="I42" s="7"/>
      <c r="J42" s="7"/>
    </row>
    <row r="43" spans="1:10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customHeight="1" x14ac:dyDescent="0.2">
      <c r="A45" s="3" t="s">
        <v>32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33</v>
      </c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198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176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54">
    <mergeCell ref="A10:J10"/>
    <mergeCell ref="I5:J5"/>
    <mergeCell ref="A6:H7"/>
    <mergeCell ref="I6:J7"/>
    <mergeCell ref="A9:H9"/>
    <mergeCell ref="I9:J9"/>
    <mergeCell ref="A11:C11"/>
    <mergeCell ref="G11:H11"/>
    <mergeCell ref="I11:J11"/>
    <mergeCell ref="A12:C12"/>
    <mergeCell ref="A13:C13"/>
    <mergeCell ref="A17:H17"/>
    <mergeCell ref="I17:J17"/>
    <mergeCell ref="A18:J18"/>
    <mergeCell ref="D20:D23"/>
    <mergeCell ref="E20:E23"/>
    <mergeCell ref="F20:F23"/>
    <mergeCell ref="G20:H20"/>
    <mergeCell ref="I20:J20"/>
    <mergeCell ref="G21:H21"/>
    <mergeCell ref="I21:J21"/>
    <mergeCell ref="A22:C22"/>
    <mergeCell ref="A23:C23"/>
    <mergeCell ref="G23:H23"/>
    <mergeCell ref="I23:J23"/>
    <mergeCell ref="A19:C19"/>
    <mergeCell ref="G19:H19"/>
    <mergeCell ref="A14:C14"/>
    <mergeCell ref="G12:H12"/>
    <mergeCell ref="I12:J12"/>
    <mergeCell ref="G13:H13"/>
    <mergeCell ref="I13:J13"/>
    <mergeCell ref="G14:H14"/>
    <mergeCell ref="I14:J14"/>
    <mergeCell ref="D12:D15"/>
    <mergeCell ref="E12:E15"/>
    <mergeCell ref="F12:F15"/>
    <mergeCell ref="A15:C15"/>
    <mergeCell ref="G15:H15"/>
    <mergeCell ref="I15:J15"/>
    <mergeCell ref="I19:J19"/>
    <mergeCell ref="I22:J22"/>
    <mergeCell ref="A20:C20"/>
    <mergeCell ref="A21:C21"/>
    <mergeCell ref="D26:J26"/>
    <mergeCell ref="D27:J27"/>
    <mergeCell ref="D28:J28"/>
    <mergeCell ref="D29:J29"/>
    <mergeCell ref="G22:H22"/>
    <mergeCell ref="A25:C25"/>
    <mergeCell ref="A26:C26"/>
    <mergeCell ref="A27:C27"/>
    <mergeCell ref="A28:C28"/>
    <mergeCell ref="A29:C29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F3D"/>
  </sheetPr>
  <dimension ref="A1:M51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4" t="s">
        <v>2</v>
      </c>
      <c r="J5" s="54"/>
    </row>
    <row r="6" spans="1:13" ht="15" customHeight="1" x14ac:dyDescent="0.2">
      <c r="A6" s="55" t="s">
        <v>0</v>
      </c>
      <c r="B6" s="55"/>
      <c r="C6" s="55"/>
      <c r="D6" s="55"/>
      <c r="E6" s="55"/>
      <c r="F6" s="55"/>
      <c r="G6" s="55"/>
      <c r="H6" s="56"/>
      <c r="I6" s="69">
        <v>0</v>
      </c>
      <c r="J6" s="70"/>
    </row>
    <row r="7" spans="1:13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5" t="s">
        <v>24</v>
      </c>
      <c r="B9" s="65"/>
      <c r="C9" s="65"/>
      <c r="D9" s="65"/>
      <c r="E9" s="65"/>
      <c r="F9" s="65"/>
      <c r="G9" s="65"/>
      <c r="H9" s="65"/>
      <c r="I9" s="66" t="s">
        <v>31</v>
      </c>
      <c r="J9" s="66"/>
      <c r="L9" s="22"/>
      <c r="M9" s="22"/>
    </row>
    <row r="10" spans="1:13" ht="15" customHeight="1" x14ac:dyDescent="0.2">
      <c r="A10" s="61" t="s">
        <v>50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ht="15" customHeight="1" x14ac:dyDescent="0.25">
      <c r="A11" s="67" t="s">
        <v>4</v>
      </c>
      <c r="B11" s="67"/>
      <c r="C11" s="67"/>
      <c r="D11" s="67"/>
      <c r="E11" s="67"/>
      <c r="F11" s="67"/>
      <c r="G11" s="68" t="s">
        <v>186</v>
      </c>
      <c r="H11" s="68"/>
      <c r="I11" s="68" t="s">
        <v>41</v>
      </c>
      <c r="J11" s="68"/>
    </row>
    <row r="12" spans="1:13" ht="15" customHeight="1" x14ac:dyDescent="0.2">
      <c r="A12" s="62" t="s">
        <v>25</v>
      </c>
      <c r="B12" s="62"/>
      <c r="C12" s="62"/>
      <c r="D12" s="62"/>
      <c r="E12" s="62"/>
      <c r="F12" s="62"/>
      <c r="G12" s="63">
        <f>MROUND(790*$I$8,5)</f>
        <v>815</v>
      </c>
      <c r="H12" s="63"/>
      <c r="I12" s="64">
        <f t="shared" ref="I12:I17" si="0">ROUND(G12*$J$8,0)</f>
        <v>815</v>
      </c>
      <c r="J12" s="64"/>
    </row>
    <row r="13" spans="1:13" ht="15" customHeight="1" x14ac:dyDescent="0.2">
      <c r="A13" s="62" t="s">
        <v>26</v>
      </c>
      <c r="B13" s="62"/>
      <c r="C13" s="62"/>
      <c r="D13" s="62"/>
      <c r="E13" s="62"/>
      <c r="F13" s="62"/>
      <c r="G13" s="63">
        <f>MROUND(1310*$I$8,5)</f>
        <v>1350</v>
      </c>
      <c r="H13" s="63"/>
      <c r="I13" s="64">
        <f t="shared" si="0"/>
        <v>1350</v>
      </c>
      <c r="J13" s="64"/>
    </row>
    <row r="14" spans="1:13" ht="15" customHeight="1" x14ac:dyDescent="0.2">
      <c r="A14" s="62" t="s">
        <v>27</v>
      </c>
      <c r="B14" s="62"/>
      <c r="C14" s="62"/>
      <c r="D14" s="62"/>
      <c r="E14" s="62"/>
      <c r="F14" s="62"/>
      <c r="G14" s="63">
        <f>MROUND(850*$I$8,5)</f>
        <v>875</v>
      </c>
      <c r="H14" s="63"/>
      <c r="I14" s="64">
        <f t="shared" si="0"/>
        <v>875</v>
      </c>
      <c r="J14" s="64"/>
    </row>
    <row r="15" spans="1:13" ht="15" customHeight="1" x14ac:dyDescent="0.2">
      <c r="A15" s="62" t="s">
        <v>28</v>
      </c>
      <c r="B15" s="62"/>
      <c r="C15" s="62"/>
      <c r="D15" s="62"/>
      <c r="E15" s="62"/>
      <c r="F15" s="62"/>
      <c r="G15" s="63">
        <f>MROUND(1465*$I$8,5)</f>
        <v>1510</v>
      </c>
      <c r="H15" s="63"/>
      <c r="I15" s="64">
        <f t="shared" si="0"/>
        <v>1510</v>
      </c>
      <c r="J15" s="64"/>
    </row>
    <row r="16" spans="1:13" ht="15" customHeight="1" x14ac:dyDescent="0.2">
      <c r="A16" s="62" t="s">
        <v>29</v>
      </c>
      <c r="B16" s="62"/>
      <c r="C16" s="62"/>
      <c r="D16" s="62"/>
      <c r="E16" s="62"/>
      <c r="F16" s="62"/>
      <c r="G16" s="63">
        <f>MROUND(900*$I$8,5)</f>
        <v>925</v>
      </c>
      <c r="H16" s="63"/>
      <c r="I16" s="64">
        <f t="shared" si="0"/>
        <v>925</v>
      </c>
      <c r="J16" s="64"/>
    </row>
    <row r="17" spans="1:10" ht="15" customHeight="1" x14ac:dyDescent="0.2">
      <c r="A17" s="62" t="s">
        <v>30</v>
      </c>
      <c r="B17" s="62"/>
      <c r="C17" s="62"/>
      <c r="D17" s="62"/>
      <c r="E17" s="62"/>
      <c r="F17" s="62"/>
      <c r="G17" s="63">
        <f>MROUND(1615*$I$8,5)</f>
        <v>1665</v>
      </c>
      <c r="H17" s="63"/>
      <c r="I17" s="64">
        <f t="shared" si="0"/>
        <v>1665</v>
      </c>
      <c r="J17" s="64"/>
    </row>
    <row r="18" spans="1:10" ht="15" customHeight="1" x14ac:dyDescent="0.2">
      <c r="J18" s="2"/>
    </row>
    <row r="19" spans="1:10" ht="15" customHeight="1" x14ac:dyDescent="0.25">
      <c r="A19" s="65" t="s">
        <v>1</v>
      </c>
      <c r="B19" s="65"/>
      <c r="C19" s="65"/>
      <c r="D19" s="65"/>
      <c r="E19" s="65"/>
      <c r="F19" s="65"/>
      <c r="G19" s="65"/>
      <c r="H19" s="65"/>
      <c r="I19" s="73" t="s">
        <v>3</v>
      </c>
      <c r="J19" s="73"/>
    </row>
    <row r="20" spans="1:10" ht="15" customHeight="1" x14ac:dyDescent="0.2">
      <c r="A20" s="61" t="s">
        <v>48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15" customHeight="1" x14ac:dyDescent="0.25">
      <c r="A21" s="67" t="s">
        <v>4</v>
      </c>
      <c r="B21" s="67"/>
      <c r="C21" s="67"/>
      <c r="D21" s="67"/>
      <c r="E21" s="67"/>
      <c r="F21" s="67"/>
      <c r="G21" s="68" t="s">
        <v>186</v>
      </c>
      <c r="H21" s="68"/>
      <c r="I21" s="68" t="s">
        <v>41</v>
      </c>
      <c r="J21" s="68"/>
    </row>
    <row r="22" spans="1:10" ht="15" customHeight="1" x14ac:dyDescent="0.2">
      <c r="A22" s="62" t="s">
        <v>5</v>
      </c>
      <c r="B22" s="62"/>
      <c r="C22" s="62"/>
      <c r="D22" s="62"/>
      <c r="E22" s="62"/>
      <c r="F22" s="62"/>
      <c r="G22" s="63">
        <f>MROUND(1075*$I$8,5)</f>
        <v>1105</v>
      </c>
      <c r="H22" s="63"/>
      <c r="I22" s="64">
        <f>ROUND(G22*$J$8,0)</f>
        <v>1105</v>
      </c>
      <c r="J22" s="64"/>
    </row>
    <row r="23" spans="1:10" ht="15" customHeight="1" x14ac:dyDescent="0.2">
      <c r="A23" s="62" t="s">
        <v>7</v>
      </c>
      <c r="B23" s="62"/>
      <c r="C23" s="62"/>
      <c r="D23" s="62"/>
      <c r="E23" s="62"/>
      <c r="F23" s="62"/>
      <c r="G23" s="63">
        <f>MROUND(1680*$I$8,5)</f>
        <v>1730</v>
      </c>
      <c r="H23" s="63"/>
      <c r="I23" s="64">
        <f t="shared" ref="I23:I30" si="1">ROUND(G23*$J$8,0)</f>
        <v>1730</v>
      </c>
      <c r="J23" s="64"/>
    </row>
    <row r="24" spans="1:10" ht="15" customHeight="1" x14ac:dyDescent="0.2">
      <c r="A24" s="62" t="s">
        <v>9</v>
      </c>
      <c r="B24" s="62"/>
      <c r="C24" s="62"/>
      <c r="D24" s="62"/>
      <c r="E24" s="62"/>
      <c r="F24" s="62"/>
      <c r="G24" s="63">
        <f>MROUND(2110*$I$8,5)</f>
        <v>2175</v>
      </c>
      <c r="H24" s="63"/>
      <c r="I24" s="64">
        <f t="shared" si="1"/>
        <v>2175</v>
      </c>
      <c r="J24" s="64"/>
    </row>
    <row r="25" spans="1:10" ht="15" customHeight="1" x14ac:dyDescent="0.2">
      <c r="A25" s="62" t="s">
        <v>6</v>
      </c>
      <c r="B25" s="62"/>
      <c r="C25" s="62"/>
      <c r="D25" s="62"/>
      <c r="E25" s="62"/>
      <c r="F25" s="62"/>
      <c r="G25" s="63">
        <f>MROUND(1145*$I$8,5)</f>
        <v>1180</v>
      </c>
      <c r="H25" s="63"/>
      <c r="I25" s="64">
        <f t="shared" si="1"/>
        <v>1180</v>
      </c>
      <c r="J25" s="64"/>
    </row>
    <row r="26" spans="1:10" ht="15" customHeight="1" x14ac:dyDescent="0.2">
      <c r="A26" s="62" t="s">
        <v>8</v>
      </c>
      <c r="B26" s="62"/>
      <c r="C26" s="62"/>
      <c r="D26" s="62"/>
      <c r="E26" s="62"/>
      <c r="F26" s="62"/>
      <c r="G26" s="63">
        <f>MROUND(1815*$I$8,5)</f>
        <v>1870</v>
      </c>
      <c r="H26" s="63"/>
      <c r="I26" s="64">
        <f t="shared" si="1"/>
        <v>1870</v>
      </c>
      <c r="J26" s="64"/>
    </row>
    <row r="27" spans="1:10" ht="15" customHeight="1" x14ac:dyDescent="0.2">
      <c r="A27" s="62" t="s">
        <v>10</v>
      </c>
      <c r="B27" s="62"/>
      <c r="C27" s="62"/>
      <c r="D27" s="62"/>
      <c r="E27" s="62"/>
      <c r="F27" s="62"/>
      <c r="G27" s="63">
        <f>MROUND(2265*$I$8,5)</f>
        <v>2335</v>
      </c>
      <c r="H27" s="63"/>
      <c r="I27" s="64">
        <f t="shared" si="1"/>
        <v>2335</v>
      </c>
      <c r="J27" s="64"/>
    </row>
    <row r="28" spans="1:10" ht="15" customHeight="1" x14ac:dyDescent="0.2">
      <c r="A28" s="62" t="s">
        <v>11</v>
      </c>
      <c r="B28" s="62"/>
      <c r="C28" s="62"/>
      <c r="D28" s="62"/>
      <c r="E28" s="62"/>
      <c r="F28" s="62"/>
      <c r="G28" s="63">
        <f>MROUND(2420*$I$8,5)</f>
        <v>2495</v>
      </c>
      <c r="H28" s="63"/>
      <c r="I28" s="64">
        <f t="shared" si="1"/>
        <v>2495</v>
      </c>
      <c r="J28" s="64"/>
    </row>
    <row r="29" spans="1:10" ht="15" customHeight="1" x14ac:dyDescent="0.2">
      <c r="A29" s="62" t="s">
        <v>12</v>
      </c>
      <c r="B29" s="62"/>
      <c r="C29" s="62"/>
      <c r="D29" s="62"/>
      <c r="E29" s="62"/>
      <c r="F29" s="62"/>
      <c r="G29" s="63">
        <f>MROUND(3055*$I$8,5)</f>
        <v>3145</v>
      </c>
      <c r="H29" s="63"/>
      <c r="I29" s="64">
        <f t="shared" si="1"/>
        <v>3145</v>
      </c>
      <c r="J29" s="64"/>
    </row>
    <row r="30" spans="1:10" ht="15" customHeight="1" x14ac:dyDescent="0.2">
      <c r="A30" s="62" t="s">
        <v>13</v>
      </c>
      <c r="B30" s="62"/>
      <c r="C30" s="62"/>
      <c r="D30" s="62"/>
      <c r="E30" s="62"/>
      <c r="F30" s="62"/>
      <c r="G30" s="63">
        <f>MROUND(3445*$I$8,5)</f>
        <v>3550</v>
      </c>
      <c r="H30" s="63"/>
      <c r="I30" s="64">
        <f t="shared" si="1"/>
        <v>3550</v>
      </c>
      <c r="J30" s="64"/>
    </row>
    <row r="31" spans="1:10" ht="15" customHeight="1" x14ac:dyDescent="0.2"/>
    <row r="32" spans="1:10" ht="15" customHeight="1" x14ac:dyDescent="0.25">
      <c r="A32" s="65" t="s">
        <v>37</v>
      </c>
      <c r="B32" s="65"/>
      <c r="C32" s="65"/>
      <c r="D32" s="65"/>
      <c r="E32" s="65"/>
      <c r="F32" s="65"/>
      <c r="G32" s="65"/>
      <c r="H32" s="65"/>
      <c r="I32" s="66" t="s">
        <v>14</v>
      </c>
      <c r="J32" s="66"/>
    </row>
    <row r="33" spans="1:10" ht="15" customHeight="1" x14ac:dyDescent="0.2">
      <c r="A33" s="61" t="s">
        <v>49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5" customHeight="1" x14ac:dyDescent="0.25">
      <c r="A34" s="67" t="s">
        <v>4</v>
      </c>
      <c r="B34" s="67"/>
      <c r="C34" s="67"/>
      <c r="D34" s="67"/>
      <c r="E34" s="67"/>
      <c r="F34" s="67"/>
      <c r="G34" s="68" t="s">
        <v>186</v>
      </c>
      <c r="H34" s="68"/>
      <c r="I34" s="68" t="s">
        <v>41</v>
      </c>
      <c r="J34" s="68"/>
    </row>
    <row r="35" spans="1:10" ht="15" customHeight="1" x14ac:dyDescent="0.2">
      <c r="A35" s="62" t="s">
        <v>15</v>
      </c>
      <c r="B35" s="62"/>
      <c r="C35" s="62"/>
      <c r="D35" s="62"/>
      <c r="E35" s="62"/>
      <c r="F35" s="62"/>
      <c r="G35" s="63">
        <f>MROUND(1210*$I$8,5)</f>
        <v>1245</v>
      </c>
      <c r="H35" s="63"/>
      <c r="I35" s="64">
        <f t="shared" ref="I35:I43" si="2">ROUND(G35*$J$8,0)</f>
        <v>1245</v>
      </c>
      <c r="J35" s="64"/>
    </row>
    <row r="36" spans="1:10" ht="15" customHeight="1" x14ac:dyDescent="0.2">
      <c r="A36" s="62" t="s">
        <v>17</v>
      </c>
      <c r="B36" s="62"/>
      <c r="C36" s="62"/>
      <c r="D36" s="62"/>
      <c r="E36" s="62"/>
      <c r="F36" s="62"/>
      <c r="G36" s="63">
        <f>MROUND(1870*$I$8,5)</f>
        <v>1925</v>
      </c>
      <c r="H36" s="63"/>
      <c r="I36" s="64">
        <f t="shared" si="2"/>
        <v>1925</v>
      </c>
      <c r="J36" s="64"/>
    </row>
    <row r="37" spans="1:10" ht="15" customHeight="1" x14ac:dyDescent="0.2">
      <c r="A37" s="62" t="s">
        <v>19</v>
      </c>
      <c r="B37" s="62"/>
      <c r="C37" s="62"/>
      <c r="D37" s="62"/>
      <c r="E37" s="62"/>
      <c r="F37" s="62"/>
      <c r="G37" s="63">
        <f>MROUND(2370*$I$8,5)</f>
        <v>2440</v>
      </c>
      <c r="H37" s="63"/>
      <c r="I37" s="64">
        <f t="shared" si="2"/>
        <v>2440</v>
      </c>
      <c r="J37" s="64"/>
    </row>
    <row r="38" spans="1:10" ht="15" customHeight="1" x14ac:dyDescent="0.2">
      <c r="A38" s="62" t="s">
        <v>16</v>
      </c>
      <c r="B38" s="62"/>
      <c r="C38" s="62"/>
      <c r="D38" s="62"/>
      <c r="E38" s="62"/>
      <c r="F38" s="62"/>
      <c r="G38" s="63">
        <f>MROUND(1285*$I$8,5)</f>
        <v>1325</v>
      </c>
      <c r="H38" s="63"/>
      <c r="I38" s="64">
        <f t="shared" si="2"/>
        <v>1325</v>
      </c>
      <c r="J38" s="64"/>
    </row>
    <row r="39" spans="1:10" ht="15" customHeight="1" x14ac:dyDescent="0.2">
      <c r="A39" s="62" t="s">
        <v>18</v>
      </c>
      <c r="B39" s="62"/>
      <c r="C39" s="62"/>
      <c r="D39" s="62"/>
      <c r="E39" s="62"/>
      <c r="F39" s="62"/>
      <c r="G39" s="63">
        <f>MROUND(2015*$I$8,5)</f>
        <v>2075</v>
      </c>
      <c r="H39" s="63"/>
      <c r="I39" s="64">
        <f t="shared" si="2"/>
        <v>2075</v>
      </c>
      <c r="J39" s="64"/>
    </row>
    <row r="40" spans="1:10" ht="15" customHeight="1" x14ac:dyDescent="0.2">
      <c r="A40" s="62" t="s">
        <v>20</v>
      </c>
      <c r="B40" s="62"/>
      <c r="C40" s="62"/>
      <c r="D40" s="62"/>
      <c r="E40" s="62"/>
      <c r="F40" s="62"/>
      <c r="G40" s="63">
        <f>MROUND(2525*$I$8,5)</f>
        <v>2600</v>
      </c>
      <c r="H40" s="63"/>
      <c r="I40" s="64">
        <f t="shared" si="2"/>
        <v>2600</v>
      </c>
      <c r="J40" s="64"/>
    </row>
    <row r="41" spans="1:10" ht="15" customHeight="1" x14ac:dyDescent="0.2">
      <c r="A41" s="62" t="s">
        <v>21</v>
      </c>
      <c r="B41" s="62"/>
      <c r="C41" s="62"/>
      <c r="D41" s="62"/>
      <c r="E41" s="62"/>
      <c r="F41" s="62"/>
      <c r="G41" s="63">
        <f>MROUND(2680*$I$8,5)</f>
        <v>2760</v>
      </c>
      <c r="H41" s="63"/>
      <c r="I41" s="64">
        <f t="shared" si="2"/>
        <v>2760</v>
      </c>
      <c r="J41" s="64"/>
    </row>
    <row r="42" spans="1:10" ht="15" customHeight="1" x14ac:dyDescent="0.2">
      <c r="A42" s="62" t="s">
        <v>22</v>
      </c>
      <c r="B42" s="62"/>
      <c r="C42" s="62"/>
      <c r="D42" s="62"/>
      <c r="E42" s="62"/>
      <c r="F42" s="62"/>
      <c r="G42" s="63">
        <f>MROUND(3315*$I$8,5)</f>
        <v>3415</v>
      </c>
      <c r="H42" s="63"/>
      <c r="I42" s="64">
        <f t="shared" si="2"/>
        <v>3415</v>
      </c>
      <c r="J42" s="64"/>
    </row>
    <row r="43" spans="1:10" ht="15" customHeight="1" x14ac:dyDescent="0.2">
      <c r="A43" s="62" t="s">
        <v>23</v>
      </c>
      <c r="B43" s="62"/>
      <c r="C43" s="62"/>
      <c r="D43" s="62"/>
      <c r="E43" s="62"/>
      <c r="F43" s="62"/>
      <c r="G43" s="63">
        <f>MROUND(3715*$I$8,5)</f>
        <v>3825</v>
      </c>
      <c r="H43" s="63"/>
      <c r="I43" s="64">
        <f t="shared" si="2"/>
        <v>3825</v>
      </c>
      <c r="J43" s="64"/>
    </row>
    <row r="44" spans="1:10" ht="15" customHeight="1" x14ac:dyDescent="0.2"/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A46" s="3" t="s">
        <v>32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35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</sheetData>
  <sheetProtection password="89B2" sheet="1" objects="1" scenarios="1"/>
  <mergeCells count="93">
    <mergeCell ref="A6:H7"/>
    <mergeCell ref="I5:J5"/>
    <mergeCell ref="I6:J7"/>
    <mergeCell ref="I19:J19"/>
    <mergeCell ref="A19:H19"/>
    <mergeCell ref="G14:H14"/>
    <mergeCell ref="I14:J14"/>
    <mergeCell ref="A11:F11"/>
    <mergeCell ref="G11:H11"/>
    <mergeCell ref="I11:J11"/>
    <mergeCell ref="A12:F12"/>
    <mergeCell ref="G12:H12"/>
    <mergeCell ref="I12:J12"/>
    <mergeCell ref="I21:J21"/>
    <mergeCell ref="I22:J22"/>
    <mergeCell ref="G21:H21"/>
    <mergeCell ref="G22:H22"/>
    <mergeCell ref="A22:F22"/>
    <mergeCell ref="A21:F21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28:F28"/>
    <mergeCell ref="G28:H28"/>
    <mergeCell ref="I28:J28"/>
    <mergeCell ref="A29:F29"/>
    <mergeCell ref="G29:H29"/>
    <mergeCell ref="I29:J29"/>
    <mergeCell ref="A30:F30"/>
    <mergeCell ref="G30:H30"/>
    <mergeCell ref="I30:J30"/>
    <mergeCell ref="I32:J32"/>
    <mergeCell ref="A32:H32"/>
    <mergeCell ref="A34:F34"/>
    <mergeCell ref="G34:H34"/>
    <mergeCell ref="I34:J34"/>
    <mergeCell ref="A35:F35"/>
    <mergeCell ref="G35:H35"/>
    <mergeCell ref="I35:J35"/>
    <mergeCell ref="A36:F36"/>
    <mergeCell ref="G36:H36"/>
    <mergeCell ref="I36:J36"/>
    <mergeCell ref="I40:J40"/>
    <mergeCell ref="A37:F37"/>
    <mergeCell ref="G37:H37"/>
    <mergeCell ref="I37:J37"/>
    <mergeCell ref="A38:F38"/>
    <mergeCell ref="G38:H38"/>
    <mergeCell ref="I38:J38"/>
    <mergeCell ref="A43:F43"/>
    <mergeCell ref="G43:H43"/>
    <mergeCell ref="I43:J43"/>
    <mergeCell ref="A9:H9"/>
    <mergeCell ref="I9:J9"/>
    <mergeCell ref="A41:F41"/>
    <mergeCell ref="G41:H41"/>
    <mergeCell ref="I41:J41"/>
    <mergeCell ref="A42:F42"/>
    <mergeCell ref="G42:H42"/>
    <mergeCell ref="I42:J42"/>
    <mergeCell ref="A39:F39"/>
    <mergeCell ref="G39:H39"/>
    <mergeCell ref="I39:J39"/>
    <mergeCell ref="A40:F40"/>
    <mergeCell ref="G40:H40"/>
    <mergeCell ref="A20:J20"/>
    <mergeCell ref="A33:J33"/>
    <mergeCell ref="A10:J10"/>
    <mergeCell ref="A17:F17"/>
    <mergeCell ref="G17:H17"/>
    <mergeCell ref="I17:J17"/>
    <mergeCell ref="A15:F15"/>
    <mergeCell ref="G15:H15"/>
    <mergeCell ref="I15:J15"/>
    <mergeCell ref="A16:F16"/>
    <mergeCell ref="G16:H16"/>
    <mergeCell ref="I16:J16"/>
    <mergeCell ref="A13:F13"/>
    <mergeCell ref="G13:H13"/>
    <mergeCell ref="I13:J13"/>
    <mergeCell ref="A14:F14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4" t="s">
        <v>2</v>
      </c>
      <c r="J5" s="54"/>
    </row>
    <row r="6" spans="1:13" ht="15" customHeight="1" x14ac:dyDescent="0.2">
      <c r="A6" s="55" t="s">
        <v>56</v>
      </c>
      <c r="B6" s="55"/>
      <c r="C6" s="55"/>
      <c r="D6" s="55"/>
      <c r="E6" s="55"/>
      <c r="F6" s="55"/>
      <c r="G6" s="55"/>
      <c r="H6" s="56"/>
      <c r="I6" s="92">
        <f>'Buňky G-GE-GH'!I6:J7</f>
        <v>0</v>
      </c>
      <c r="J6" s="93"/>
    </row>
    <row r="7" spans="1:13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94"/>
      <c r="J7" s="95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5" t="s">
        <v>38</v>
      </c>
      <c r="B9" s="65"/>
      <c r="C9" s="65"/>
      <c r="D9" s="65"/>
      <c r="E9" s="65"/>
      <c r="F9" s="65"/>
      <c r="G9" s="65"/>
      <c r="H9" s="65"/>
      <c r="I9" s="73" t="s">
        <v>39</v>
      </c>
      <c r="J9" s="73"/>
    </row>
    <row r="10" spans="1:13" ht="15" customHeight="1" x14ac:dyDescent="0.2">
      <c r="A10" s="61" t="s">
        <v>50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ht="15" customHeight="1" x14ac:dyDescent="0.25">
      <c r="A11" s="68" t="s">
        <v>42</v>
      </c>
      <c r="B11" s="68"/>
      <c r="C11" s="68" t="s">
        <v>43</v>
      </c>
      <c r="D11" s="68"/>
      <c r="E11" s="68" t="s">
        <v>44</v>
      </c>
      <c r="F11" s="68"/>
      <c r="G11" s="68" t="s">
        <v>186</v>
      </c>
      <c r="H11" s="68"/>
      <c r="I11" s="68" t="s">
        <v>41</v>
      </c>
      <c r="J11" s="68"/>
    </row>
    <row r="12" spans="1:13" ht="15" customHeight="1" x14ac:dyDescent="0.2">
      <c r="A12" s="77" t="s">
        <v>47</v>
      </c>
      <c r="B12" s="78"/>
      <c r="C12" s="76">
        <v>200</v>
      </c>
      <c r="D12" s="76"/>
      <c r="E12" s="85">
        <v>1000</v>
      </c>
      <c r="F12" s="78"/>
      <c r="G12" s="63">
        <f>MROUND(450*$I$8,5)</f>
        <v>465</v>
      </c>
      <c r="H12" s="63"/>
      <c r="I12" s="64">
        <f>ROUND(G12*$J$8,0)</f>
        <v>465</v>
      </c>
      <c r="J12" s="64"/>
      <c r="L12" s="24"/>
      <c r="M12" s="24"/>
    </row>
    <row r="13" spans="1:13" ht="15" customHeight="1" x14ac:dyDescent="0.2">
      <c r="A13" s="79"/>
      <c r="B13" s="80"/>
      <c r="C13" s="76">
        <v>250</v>
      </c>
      <c r="D13" s="76"/>
      <c r="E13" s="79"/>
      <c r="F13" s="80"/>
      <c r="G13" s="63">
        <f>MROUND(480*$I$8,5)</f>
        <v>495</v>
      </c>
      <c r="H13" s="63"/>
      <c r="I13" s="64">
        <f t="shared" ref="I13:I38" si="0">ROUND(G13*$J$8,0)</f>
        <v>495</v>
      </c>
      <c r="J13" s="64"/>
      <c r="L13" s="24"/>
      <c r="M13" s="24"/>
    </row>
    <row r="14" spans="1:13" ht="15" customHeight="1" x14ac:dyDescent="0.2">
      <c r="A14" s="79"/>
      <c r="B14" s="80"/>
      <c r="C14" s="76">
        <v>315</v>
      </c>
      <c r="D14" s="76"/>
      <c r="E14" s="79"/>
      <c r="F14" s="80"/>
      <c r="G14" s="63">
        <f>MROUND(535*$I$8,5)</f>
        <v>550</v>
      </c>
      <c r="H14" s="63"/>
      <c r="I14" s="64">
        <f t="shared" si="0"/>
        <v>550</v>
      </c>
      <c r="J14" s="64"/>
      <c r="L14" s="24"/>
      <c r="M14" s="24"/>
    </row>
    <row r="15" spans="1:13" ht="15" customHeight="1" x14ac:dyDescent="0.2">
      <c r="A15" s="79"/>
      <c r="B15" s="80"/>
      <c r="C15" s="76">
        <v>400</v>
      </c>
      <c r="D15" s="76"/>
      <c r="E15" s="79"/>
      <c r="F15" s="80"/>
      <c r="G15" s="63">
        <f>MROUND(590*$I$8,5)</f>
        <v>610</v>
      </c>
      <c r="H15" s="63"/>
      <c r="I15" s="64">
        <f t="shared" si="0"/>
        <v>610</v>
      </c>
      <c r="J15" s="64"/>
      <c r="L15" s="24"/>
      <c r="M15" s="24"/>
    </row>
    <row r="16" spans="1:13" ht="15" customHeight="1" x14ac:dyDescent="0.2">
      <c r="A16" s="79"/>
      <c r="B16" s="80"/>
      <c r="C16" s="76">
        <v>500</v>
      </c>
      <c r="D16" s="76"/>
      <c r="E16" s="79"/>
      <c r="F16" s="80"/>
      <c r="G16" s="63">
        <f>MROUND(645*$I$8,5)</f>
        <v>665</v>
      </c>
      <c r="H16" s="63"/>
      <c r="I16" s="64">
        <f t="shared" si="0"/>
        <v>665</v>
      </c>
      <c r="J16" s="64"/>
      <c r="L16" s="24"/>
      <c r="M16" s="24"/>
    </row>
    <row r="17" spans="1:13" ht="15" customHeight="1" x14ac:dyDescent="0.2">
      <c r="A17" s="79"/>
      <c r="B17" s="80"/>
      <c r="C17" s="76">
        <v>630</v>
      </c>
      <c r="D17" s="76"/>
      <c r="E17" s="79"/>
      <c r="F17" s="80"/>
      <c r="G17" s="63">
        <f>MROUND(800*$I$8,5)</f>
        <v>825</v>
      </c>
      <c r="H17" s="63"/>
      <c r="I17" s="64">
        <f t="shared" si="0"/>
        <v>825</v>
      </c>
      <c r="J17" s="64"/>
      <c r="L17" s="24"/>
      <c r="M17" s="24"/>
    </row>
    <row r="18" spans="1:13" ht="15" customHeight="1" x14ac:dyDescent="0.2">
      <c r="A18" s="79"/>
      <c r="B18" s="80"/>
      <c r="C18" s="76">
        <v>710</v>
      </c>
      <c r="D18" s="76"/>
      <c r="E18" s="79"/>
      <c r="F18" s="80"/>
      <c r="G18" s="63">
        <f>MROUND(895*$I$8,5)</f>
        <v>920</v>
      </c>
      <c r="H18" s="63"/>
      <c r="I18" s="64">
        <f t="shared" ref="I18" si="1">ROUND(G18*$J$8,0)</f>
        <v>920</v>
      </c>
      <c r="J18" s="64"/>
      <c r="L18" s="27"/>
      <c r="M18" s="27"/>
    </row>
    <row r="19" spans="1:13" ht="15" customHeight="1" x14ac:dyDescent="0.2">
      <c r="A19" s="79"/>
      <c r="B19" s="80"/>
      <c r="C19" s="76">
        <v>800</v>
      </c>
      <c r="D19" s="76"/>
      <c r="E19" s="79"/>
      <c r="F19" s="80"/>
      <c r="G19" s="63">
        <f>MROUND(935*$I$8,5)</f>
        <v>965</v>
      </c>
      <c r="H19" s="63"/>
      <c r="I19" s="64">
        <f t="shared" si="0"/>
        <v>965</v>
      </c>
      <c r="J19" s="64"/>
      <c r="L19" s="27"/>
      <c r="M19" s="27"/>
    </row>
    <row r="20" spans="1:13" ht="15" customHeight="1" x14ac:dyDescent="0.2">
      <c r="A20" s="86"/>
      <c r="B20" s="87"/>
      <c r="C20" s="76">
        <v>1000</v>
      </c>
      <c r="D20" s="76"/>
      <c r="E20" s="86"/>
      <c r="F20" s="87"/>
      <c r="G20" s="63">
        <f>MROUND(1055*$I$8,5)</f>
        <v>1085</v>
      </c>
      <c r="H20" s="63"/>
      <c r="I20" s="64">
        <f t="shared" si="0"/>
        <v>1085</v>
      </c>
      <c r="J20" s="64"/>
      <c r="L20" s="27"/>
      <c r="M20" s="27"/>
    </row>
    <row r="21" spans="1:13" ht="15" customHeight="1" x14ac:dyDescent="0.2">
      <c r="A21" s="77" t="s">
        <v>47</v>
      </c>
      <c r="B21" s="78"/>
      <c r="C21" s="76">
        <v>200</v>
      </c>
      <c r="D21" s="76"/>
      <c r="E21" s="85">
        <v>1500</v>
      </c>
      <c r="F21" s="78"/>
      <c r="G21" s="63">
        <f>MROUND(675*$I$8,5)</f>
        <v>695</v>
      </c>
      <c r="H21" s="63"/>
      <c r="I21" s="64">
        <f t="shared" si="0"/>
        <v>695</v>
      </c>
      <c r="J21" s="64"/>
      <c r="L21" s="28"/>
      <c r="M21" s="28"/>
    </row>
    <row r="22" spans="1:13" ht="15" customHeight="1" x14ac:dyDescent="0.2">
      <c r="A22" s="79"/>
      <c r="B22" s="80"/>
      <c r="C22" s="76">
        <v>250</v>
      </c>
      <c r="D22" s="76"/>
      <c r="E22" s="79"/>
      <c r="F22" s="80"/>
      <c r="G22" s="63">
        <f>MROUND(715*$I$8,5)</f>
        <v>735</v>
      </c>
      <c r="H22" s="63"/>
      <c r="I22" s="64">
        <f t="shared" si="0"/>
        <v>735</v>
      </c>
      <c r="J22" s="64"/>
      <c r="L22" s="28"/>
      <c r="M22" s="28"/>
    </row>
    <row r="23" spans="1:13" ht="15" customHeight="1" x14ac:dyDescent="0.2">
      <c r="A23" s="79"/>
      <c r="B23" s="80"/>
      <c r="C23" s="76">
        <v>315</v>
      </c>
      <c r="D23" s="76"/>
      <c r="E23" s="79"/>
      <c r="F23" s="80"/>
      <c r="G23" s="63">
        <f>MROUND(800*$I$8,5)</f>
        <v>825</v>
      </c>
      <c r="H23" s="63"/>
      <c r="I23" s="64">
        <f t="shared" si="0"/>
        <v>825</v>
      </c>
      <c r="J23" s="64"/>
      <c r="L23" s="28"/>
      <c r="M23" s="28"/>
    </row>
    <row r="24" spans="1:13" ht="15" customHeight="1" x14ac:dyDescent="0.2">
      <c r="A24" s="79"/>
      <c r="B24" s="80"/>
      <c r="C24" s="76">
        <v>400</v>
      </c>
      <c r="D24" s="76"/>
      <c r="E24" s="79"/>
      <c r="F24" s="80"/>
      <c r="G24" s="63">
        <f>MROUND(885*$I$8,5)</f>
        <v>910</v>
      </c>
      <c r="H24" s="63"/>
      <c r="I24" s="64">
        <f t="shared" si="0"/>
        <v>910</v>
      </c>
      <c r="J24" s="64"/>
      <c r="L24" s="28"/>
      <c r="M24" s="28"/>
    </row>
    <row r="25" spans="1:13" ht="15" customHeight="1" x14ac:dyDescent="0.2">
      <c r="A25" s="79"/>
      <c r="B25" s="80"/>
      <c r="C25" s="76">
        <v>500</v>
      </c>
      <c r="D25" s="76"/>
      <c r="E25" s="79"/>
      <c r="F25" s="80"/>
      <c r="G25" s="63">
        <f>MROUND(965*$I$8,5)</f>
        <v>995</v>
      </c>
      <c r="H25" s="63"/>
      <c r="I25" s="64">
        <f t="shared" si="0"/>
        <v>995</v>
      </c>
      <c r="J25" s="64"/>
      <c r="L25" s="28"/>
      <c r="M25" s="28"/>
    </row>
    <row r="26" spans="1:13" ht="15" customHeight="1" x14ac:dyDescent="0.2">
      <c r="A26" s="79"/>
      <c r="B26" s="80"/>
      <c r="C26" s="76">
        <v>630</v>
      </c>
      <c r="D26" s="76"/>
      <c r="E26" s="79"/>
      <c r="F26" s="80"/>
      <c r="G26" s="63">
        <f>MROUND(1195*$I$8,5)</f>
        <v>1230</v>
      </c>
      <c r="H26" s="63"/>
      <c r="I26" s="64">
        <f t="shared" si="0"/>
        <v>1230</v>
      </c>
      <c r="J26" s="64"/>
      <c r="L26" s="28"/>
      <c r="M26" s="28"/>
    </row>
    <row r="27" spans="1:13" ht="15" customHeight="1" x14ac:dyDescent="0.2">
      <c r="A27" s="79"/>
      <c r="B27" s="80"/>
      <c r="C27" s="76">
        <v>710</v>
      </c>
      <c r="D27" s="76"/>
      <c r="E27" s="79"/>
      <c r="F27" s="80"/>
      <c r="G27" s="63">
        <f>MROUND(1310*$I$8,5)</f>
        <v>1350</v>
      </c>
      <c r="H27" s="63"/>
      <c r="I27" s="64">
        <f t="shared" ref="I27" si="2">ROUND(G27*$J$8,0)</f>
        <v>1350</v>
      </c>
      <c r="J27" s="64"/>
      <c r="L27" s="28"/>
      <c r="M27" s="28"/>
    </row>
    <row r="28" spans="1:13" ht="15" customHeight="1" x14ac:dyDescent="0.2">
      <c r="A28" s="79"/>
      <c r="B28" s="80"/>
      <c r="C28" s="76">
        <v>800</v>
      </c>
      <c r="D28" s="76"/>
      <c r="E28" s="79"/>
      <c r="F28" s="80"/>
      <c r="G28" s="63">
        <f>MROUND(1405*$I$8,5)</f>
        <v>1445</v>
      </c>
      <c r="H28" s="63"/>
      <c r="I28" s="64">
        <f t="shared" si="0"/>
        <v>1445</v>
      </c>
      <c r="J28" s="64"/>
      <c r="L28" s="28"/>
      <c r="M28" s="28"/>
    </row>
    <row r="29" spans="1:13" ht="15" customHeight="1" x14ac:dyDescent="0.2">
      <c r="A29" s="86"/>
      <c r="B29" s="87"/>
      <c r="C29" s="76">
        <v>1000</v>
      </c>
      <c r="D29" s="76"/>
      <c r="E29" s="86"/>
      <c r="F29" s="87"/>
      <c r="G29" s="63">
        <f>MROUND(1585*$I$8,5)</f>
        <v>1635</v>
      </c>
      <c r="H29" s="63"/>
      <c r="I29" s="64">
        <f t="shared" si="0"/>
        <v>1635</v>
      </c>
      <c r="J29" s="64"/>
      <c r="L29" s="28"/>
      <c r="M29" s="28"/>
    </row>
    <row r="30" spans="1:13" ht="15" customHeight="1" x14ac:dyDescent="0.2">
      <c r="A30" s="77" t="s">
        <v>47</v>
      </c>
      <c r="B30" s="78"/>
      <c r="C30" s="90">
        <v>200</v>
      </c>
      <c r="D30" s="91"/>
      <c r="E30" s="85">
        <v>2000</v>
      </c>
      <c r="F30" s="78"/>
      <c r="G30" s="63">
        <f>MROUND(900*$I$8,5)</f>
        <v>925</v>
      </c>
      <c r="H30" s="63"/>
      <c r="I30" s="88">
        <f t="shared" si="0"/>
        <v>925</v>
      </c>
      <c r="J30" s="89"/>
      <c r="L30" s="27"/>
      <c r="M30" s="27"/>
    </row>
    <row r="31" spans="1:13" ht="15" customHeight="1" x14ac:dyDescent="0.2">
      <c r="A31" s="79"/>
      <c r="B31" s="80"/>
      <c r="C31" s="90">
        <v>250</v>
      </c>
      <c r="D31" s="91"/>
      <c r="E31" s="79"/>
      <c r="F31" s="80"/>
      <c r="G31" s="63">
        <f>MROUND(955*$I$8,5)</f>
        <v>985</v>
      </c>
      <c r="H31" s="63"/>
      <c r="I31" s="88">
        <f t="shared" si="0"/>
        <v>985</v>
      </c>
      <c r="J31" s="89"/>
      <c r="L31" s="24"/>
      <c r="M31" s="24"/>
    </row>
    <row r="32" spans="1:13" ht="15" customHeight="1" x14ac:dyDescent="0.2">
      <c r="A32" s="79"/>
      <c r="B32" s="80"/>
      <c r="C32" s="76">
        <v>315</v>
      </c>
      <c r="D32" s="76"/>
      <c r="E32" s="79"/>
      <c r="F32" s="80"/>
      <c r="G32" s="63">
        <f>MROUND(1065*$I$8,5)</f>
        <v>1095</v>
      </c>
      <c r="H32" s="63"/>
      <c r="I32" s="64">
        <f t="shared" si="0"/>
        <v>1095</v>
      </c>
      <c r="J32" s="64"/>
      <c r="L32" s="24"/>
      <c r="M32" s="24"/>
    </row>
    <row r="33" spans="1:19" ht="15" customHeight="1" x14ac:dyDescent="0.2">
      <c r="A33" s="79"/>
      <c r="B33" s="80"/>
      <c r="C33" s="76">
        <v>400</v>
      </c>
      <c r="D33" s="76"/>
      <c r="E33" s="79"/>
      <c r="F33" s="80"/>
      <c r="G33" s="63">
        <f>MROUND(1175*$I$8,5)</f>
        <v>1210</v>
      </c>
      <c r="H33" s="63"/>
      <c r="I33" s="64">
        <f t="shared" si="0"/>
        <v>1210</v>
      </c>
      <c r="J33" s="64"/>
      <c r="L33" s="24"/>
      <c r="M33" s="24"/>
    </row>
    <row r="34" spans="1:19" ht="15" customHeight="1" x14ac:dyDescent="0.2">
      <c r="A34" s="79"/>
      <c r="B34" s="80"/>
      <c r="C34" s="76">
        <v>500</v>
      </c>
      <c r="D34" s="76"/>
      <c r="E34" s="79"/>
      <c r="F34" s="80"/>
      <c r="G34" s="63">
        <f>MROUND(1285*$I$8,5)</f>
        <v>1325</v>
      </c>
      <c r="H34" s="63"/>
      <c r="I34" s="64">
        <f t="shared" si="0"/>
        <v>1325</v>
      </c>
      <c r="J34" s="64"/>
      <c r="L34" s="24"/>
      <c r="M34" s="24"/>
    </row>
    <row r="35" spans="1:19" ht="15" customHeight="1" x14ac:dyDescent="0.2">
      <c r="A35" s="79"/>
      <c r="B35" s="80"/>
      <c r="C35" s="76">
        <v>630</v>
      </c>
      <c r="D35" s="76"/>
      <c r="E35" s="79"/>
      <c r="F35" s="80"/>
      <c r="G35" s="63">
        <f>MROUND(1595*$I$8,5)</f>
        <v>1645</v>
      </c>
      <c r="H35" s="63"/>
      <c r="I35" s="64">
        <f t="shared" si="0"/>
        <v>1645</v>
      </c>
      <c r="J35" s="64"/>
      <c r="L35" s="24"/>
      <c r="M35" s="24"/>
    </row>
    <row r="36" spans="1:19" ht="15" customHeight="1" x14ac:dyDescent="0.2">
      <c r="A36" s="79"/>
      <c r="B36" s="80"/>
      <c r="C36" s="76">
        <v>710</v>
      </c>
      <c r="D36" s="76"/>
      <c r="E36" s="79"/>
      <c r="F36" s="80"/>
      <c r="G36" s="63">
        <f>MROUND(1745*$I$8,5)</f>
        <v>1795</v>
      </c>
      <c r="H36" s="63"/>
      <c r="I36" s="64">
        <f t="shared" ref="I36" si="3">ROUND(G36*$J$8,0)</f>
        <v>1795</v>
      </c>
      <c r="J36" s="64"/>
      <c r="L36" s="24"/>
      <c r="M36" s="24"/>
    </row>
    <row r="37" spans="1:19" ht="15" customHeight="1" x14ac:dyDescent="0.2">
      <c r="A37" s="79"/>
      <c r="B37" s="80"/>
      <c r="C37" s="76">
        <v>800</v>
      </c>
      <c r="D37" s="76"/>
      <c r="E37" s="79"/>
      <c r="F37" s="80"/>
      <c r="G37" s="63">
        <f>MROUND(1870*$I$8,5)</f>
        <v>1925</v>
      </c>
      <c r="H37" s="63"/>
      <c r="I37" s="64">
        <f t="shared" si="0"/>
        <v>1925</v>
      </c>
      <c r="J37" s="64"/>
      <c r="L37" s="24"/>
      <c r="M37" s="24"/>
    </row>
    <row r="38" spans="1:19" ht="15" customHeight="1" x14ac:dyDescent="0.2">
      <c r="A38" s="86"/>
      <c r="B38" s="87"/>
      <c r="C38" s="76">
        <v>1000</v>
      </c>
      <c r="D38" s="76"/>
      <c r="E38" s="86"/>
      <c r="F38" s="87"/>
      <c r="G38" s="63">
        <f>MROUND(2110*$I$8,5)</f>
        <v>2175</v>
      </c>
      <c r="H38" s="63"/>
      <c r="I38" s="64">
        <f t="shared" si="0"/>
        <v>2175</v>
      </c>
      <c r="J38" s="64"/>
      <c r="L38" s="24"/>
      <c r="M38" s="24"/>
    </row>
    <row r="39" spans="1:19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9" ht="15" customHeight="1" x14ac:dyDescent="0.25">
      <c r="A40" s="65" t="s">
        <v>46</v>
      </c>
      <c r="B40" s="65"/>
      <c r="C40" s="65"/>
      <c r="D40" s="65"/>
      <c r="E40" s="65"/>
      <c r="F40" s="65"/>
      <c r="G40" s="65"/>
      <c r="H40" s="65"/>
      <c r="I40" s="8">
        <v>25</v>
      </c>
      <c r="J40" s="8">
        <v>100</v>
      </c>
    </row>
    <row r="41" spans="1:19" ht="15" customHeight="1" x14ac:dyDescent="0.2">
      <c r="A41" s="61" t="s">
        <v>53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9" ht="15" customHeight="1" x14ac:dyDescent="0.2">
      <c r="A42" s="83" t="s">
        <v>45</v>
      </c>
      <c r="B42" s="84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9" ht="15" customHeight="1" x14ac:dyDescent="0.2">
      <c r="A43" s="74" t="s">
        <v>181</v>
      </c>
      <c r="B43" s="75"/>
      <c r="C43" s="10">
        <f>MROUND(190*$I$8*$J$8,5)</f>
        <v>195</v>
      </c>
      <c r="D43" s="25">
        <f>MROUND(190*$I$8*$J$8,5)</f>
        <v>195</v>
      </c>
      <c r="E43" s="25">
        <f>MROUND(200*$I$8*$J$8,5)</f>
        <v>205</v>
      </c>
      <c r="F43" s="25">
        <f>MROUND(210*$I$8*$J$8,5)</f>
        <v>215</v>
      </c>
      <c r="G43" s="25">
        <f>MROUND(215*$I$8*$J$8,5)</f>
        <v>220</v>
      </c>
      <c r="H43" s="25">
        <f>MROUND(230*$I$8*$J$8,5)</f>
        <v>235</v>
      </c>
      <c r="I43" s="25">
        <f>MROUND(245*$I$8*$J$8,5)</f>
        <v>250</v>
      </c>
      <c r="J43" s="25">
        <f>MROUND(270*$I$8*$J$8,5)</f>
        <v>280</v>
      </c>
      <c r="L43" s="23"/>
      <c r="M43" s="23"/>
      <c r="N43" s="23"/>
      <c r="O43" s="23"/>
      <c r="P43" s="23"/>
      <c r="Q43" s="23"/>
      <c r="R43" s="23"/>
      <c r="S43" s="23"/>
    </row>
    <row r="44" spans="1:19" ht="15" customHeight="1" x14ac:dyDescent="0.2">
      <c r="A44" s="74" t="s">
        <v>182</v>
      </c>
      <c r="B44" s="75"/>
      <c r="C44" s="25">
        <f>MROUND(185*$I$8*$J$8,5)</f>
        <v>190</v>
      </c>
      <c r="D44" s="25">
        <f>MROUND(185*$I$8*$J$8,5)</f>
        <v>190</v>
      </c>
      <c r="E44" s="25">
        <f>MROUND(190*$I$8*$J$8,5)</f>
        <v>195</v>
      </c>
      <c r="F44" s="25">
        <f>MROUND(200*$I$8*$J$8,5)</f>
        <v>205</v>
      </c>
      <c r="G44" s="25">
        <f>MROUND(210*$I$8*$J$8,5)</f>
        <v>215</v>
      </c>
      <c r="H44" s="25">
        <f>MROUND(215*$I$8*$J$8,5)</f>
        <v>220</v>
      </c>
      <c r="I44" s="25">
        <f>MROUND(230*$I$8*$J$8,5)</f>
        <v>235</v>
      </c>
      <c r="J44" s="25">
        <f>MROUND(240*$I$8*$J$8,5)</f>
        <v>245</v>
      </c>
      <c r="L44" s="23"/>
      <c r="M44" s="23"/>
      <c r="N44" s="23"/>
      <c r="O44" s="23"/>
      <c r="P44" s="23"/>
      <c r="Q44" s="23"/>
      <c r="R44" s="23"/>
      <c r="S44" s="23"/>
    </row>
    <row r="45" spans="1:19" ht="15" customHeight="1" x14ac:dyDescent="0.2">
      <c r="A45" s="74" t="s">
        <v>183</v>
      </c>
      <c r="B45" s="75"/>
      <c r="C45" s="10">
        <f>C44+C43</f>
        <v>385</v>
      </c>
      <c r="D45" s="25">
        <f t="shared" ref="D45:J45" si="4">D44+D43</f>
        <v>385</v>
      </c>
      <c r="E45" s="25">
        <f t="shared" si="4"/>
        <v>400</v>
      </c>
      <c r="F45" s="25">
        <f t="shared" si="4"/>
        <v>420</v>
      </c>
      <c r="G45" s="25">
        <f t="shared" si="4"/>
        <v>435</v>
      </c>
      <c r="H45" s="25">
        <f t="shared" si="4"/>
        <v>455</v>
      </c>
      <c r="I45" s="25">
        <f t="shared" si="4"/>
        <v>485</v>
      </c>
      <c r="J45" s="25">
        <f t="shared" si="4"/>
        <v>525</v>
      </c>
      <c r="L45" s="23"/>
      <c r="M45" s="23"/>
      <c r="N45" s="23"/>
      <c r="O45" s="23"/>
      <c r="P45" s="23"/>
      <c r="Q45" s="23"/>
      <c r="R45" s="23"/>
      <c r="S45" s="23"/>
    </row>
    <row r="46" spans="1:19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9" ht="15" customHeight="1" x14ac:dyDescent="0.2">
      <c r="A47" s="3" t="s">
        <v>168</v>
      </c>
      <c r="B47" s="3"/>
      <c r="C47" s="3"/>
      <c r="D47" s="3"/>
      <c r="E47" s="3"/>
      <c r="F47" s="3"/>
      <c r="G47" s="3"/>
      <c r="H47" s="3"/>
      <c r="I47" s="3"/>
      <c r="J47" s="3"/>
    </row>
    <row r="48" spans="1:19" ht="15" customHeight="1" x14ac:dyDescent="0.2">
      <c r="A48" s="3" t="s">
        <v>169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4" t="s">
        <v>2</v>
      </c>
      <c r="J55" s="54"/>
    </row>
    <row r="56" spans="1:13" ht="15" customHeight="1" x14ac:dyDescent="0.2">
      <c r="A56" s="55" t="s">
        <v>56</v>
      </c>
      <c r="B56" s="55"/>
      <c r="C56" s="55"/>
      <c r="D56" s="55"/>
      <c r="E56" s="55"/>
      <c r="F56" s="55"/>
      <c r="G56" s="55"/>
      <c r="H56" s="56"/>
      <c r="I56" s="69">
        <f>I6</f>
        <v>0</v>
      </c>
      <c r="J56" s="70"/>
    </row>
    <row r="57" spans="1:13" ht="15" customHeight="1" thickBot="1" x14ac:dyDescent="0.25">
      <c r="A57" s="55"/>
      <c r="B57" s="55"/>
      <c r="C57" s="55"/>
      <c r="D57" s="55"/>
      <c r="E57" s="55"/>
      <c r="F57" s="55"/>
      <c r="G57" s="55"/>
      <c r="H57" s="56"/>
      <c r="I57" s="71"/>
      <c r="J57" s="72"/>
    </row>
    <row r="58" spans="1:13" ht="15" customHeight="1" x14ac:dyDescent="0.2">
      <c r="J58" s="30">
        <f>1-I56</f>
        <v>1</v>
      </c>
    </row>
    <row r="59" spans="1:13" ht="15" customHeight="1" x14ac:dyDescent="0.25">
      <c r="A59" s="65" t="s">
        <v>38</v>
      </c>
      <c r="B59" s="65"/>
      <c r="C59" s="65"/>
      <c r="D59" s="65"/>
      <c r="E59" s="65"/>
      <c r="F59" s="65"/>
      <c r="G59" s="65"/>
      <c r="H59" s="65"/>
      <c r="I59" s="73" t="s">
        <v>39</v>
      </c>
      <c r="J59" s="73"/>
    </row>
    <row r="60" spans="1:13" ht="15" customHeight="1" x14ac:dyDescent="0.2">
      <c r="A60" s="61" t="s">
        <v>50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3" ht="15" customHeight="1" x14ac:dyDescent="0.25">
      <c r="A61" s="68" t="s">
        <v>42</v>
      </c>
      <c r="B61" s="68"/>
      <c r="C61" s="68" t="s">
        <v>43</v>
      </c>
      <c r="D61" s="68"/>
      <c r="E61" s="68" t="s">
        <v>44</v>
      </c>
      <c r="F61" s="68"/>
      <c r="G61" s="68" t="s">
        <v>186</v>
      </c>
      <c r="H61" s="68"/>
      <c r="I61" s="68" t="s">
        <v>41</v>
      </c>
      <c r="J61" s="68"/>
    </row>
    <row r="62" spans="1:13" ht="15" customHeight="1" x14ac:dyDescent="0.2">
      <c r="A62" s="77" t="s">
        <v>51</v>
      </c>
      <c r="B62" s="78"/>
      <c r="C62" s="76">
        <v>200</v>
      </c>
      <c r="D62" s="76"/>
      <c r="E62" s="85">
        <v>1000</v>
      </c>
      <c r="F62" s="78"/>
      <c r="G62" s="63">
        <f>MROUND(665*$I$8,5)</f>
        <v>685</v>
      </c>
      <c r="H62" s="63"/>
      <c r="I62" s="64">
        <f>ROUND(G62*$J$58,0)</f>
        <v>685</v>
      </c>
      <c r="J62" s="64"/>
      <c r="L62" s="24"/>
      <c r="M62" s="24"/>
    </row>
    <row r="63" spans="1:13" ht="15" customHeight="1" x14ac:dyDescent="0.2">
      <c r="A63" s="79"/>
      <c r="B63" s="80"/>
      <c r="C63" s="76">
        <v>250</v>
      </c>
      <c r="D63" s="76"/>
      <c r="E63" s="79"/>
      <c r="F63" s="80"/>
      <c r="G63" s="63">
        <f>MROUND(705*$I$8,5)</f>
        <v>725</v>
      </c>
      <c r="H63" s="63"/>
      <c r="I63" s="64">
        <f t="shared" ref="I63:I88" si="5">ROUND(G63*$J$58,0)</f>
        <v>725</v>
      </c>
      <c r="J63" s="64"/>
      <c r="L63" s="24"/>
      <c r="M63" s="24"/>
    </row>
    <row r="64" spans="1:13" ht="15" customHeight="1" x14ac:dyDescent="0.2">
      <c r="A64" s="79"/>
      <c r="B64" s="80"/>
      <c r="C64" s="76">
        <v>315</v>
      </c>
      <c r="D64" s="76"/>
      <c r="E64" s="79"/>
      <c r="F64" s="80"/>
      <c r="G64" s="63">
        <f>MROUND(760*$I$8,5)</f>
        <v>785</v>
      </c>
      <c r="H64" s="63"/>
      <c r="I64" s="64">
        <f t="shared" si="5"/>
        <v>785</v>
      </c>
      <c r="J64" s="64"/>
      <c r="L64" s="24"/>
      <c r="M64" s="24"/>
    </row>
    <row r="65" spans="1:13" ht="15" customHeight="1" x14ac:dyDescent="0.2">
      <c r="A65" s="79"/>
      <c r="B65" s="80"/>
      <c r="C65" s="76">
        <v>400</v>
      </c>
      <c r="D65" s="76"/>
      <c r="E65" s="79"/>
      <c r="F65" s="80"/>
      <c r="G65" s="63">
        <f>MROUND(860*$I$8,5)</f>
        <v>885</v>
      </c>
      <c r="H65" s="63"/>
      <c r="I65" s="64">
        <f t="shared" si="5"/>
        <v>885</v>
      </c>
      <c r="J65" s="64"/>
      <c r="L65" s="24"/>
      <c r="M65" s="24"/>
    </row>
    <row r="66" spans="1:13" ht="15" customHeight="1" x14ac:dyDescent="0.2">
      <c r="A66" s="79"/>
      <c r="B66" s="80"/>
      <c r="C66" s="76">
        <v>500</v>
      </c>
      <c r="D66" s="76"/>
      <c r="E66" s="79"/>
      <c r="F66" s="80"/>
      <c r="G66" s="63">
        <f>MROUND(945*$I$8,5)</f>
        <v>975</v>
      </c>
      <c r="H66" s="63"/>
      <c r="I66" s="64">
        <f t="shared" si="5"/>
        <v>975</v>
      </c>
      <c r="J66" s="64"/>
      <c r="L66" s="24"/>
      <c r="M66" s="24"/>
    </row>
    <row r="67" spans="1:13" ht="15" customHeight="1" x14ac:dyDescent="0.2">
      <c r="A67" s="79"/>
      <c r="B67" s="80"/>
      <c r="C67" s="76">
        <v>630</v>
      </c>
      <c r="D67" s="76"/>
      <c r="E67" s="79"/>
      <c r="F67" s="80"/>
      <c r="G67" s="63">
        <f>MROUND(1130*$I$8,5)</f>
        <v>1165</v>
      </c>
      <c r="H67" s="63"/>
      <c r="I67" s="64">
        <f t="shared" si="5"/>
        <v>1165</v>
      </c>
      <c r="J67" s="64"/>
      <c r="L67" s="24"/>
      <c r="M67" s="24"/>
    </row>
    <row r="68" spans="1:13" ht="15" customHeight="1" x14ac:dyDescent="0.2">
      <c r="A68" s="79"/>
      <c r="B68" s="80"/>
      <c r="C68" s="76">
        <v>710</v>
      </c>
      <c r="D68" s="76"/>
      <c r="E68" s="79"/>
      <c r="F68" s="80"/>
      <c r="G68" s="63">
        <f>MROUND(1230*$I$8,5)</f>
        <v>1265</v>
      </c>
      <c r="H68" s="63"/>
      <c r="I68" s="64">
        <f t="shared" ref="I68" si="6">ROUND(G68*$J$58,0)</f>
        <v>1265</v>
      </c>
      <c r="J68" s="64"/>
      <c r="L68" s="24"/>
      <c r="M68" s="24"/>
    </row>
    <row r="69" spans="1:13" ht="15" customHeight="1" x14ac:dyDescent="0.2">
      <c r="A69" s="79"/>
      <c r="B69" s="80"/>
      <c r="C69" s="76">
        <v>800</v>
      </c>
      <c r="D69" s="76"/>
      <c r="E69" s="79"/>
      <c r="F69" s="80"/>
      <c r="G69" s="63">
        <f>MROUND(1320*$I$8,5)</f>
        <v>1360</v>
      </c>
      <c r="H69" s="63"/>
      <c r="I69" s="64">
        <f t="shared" si="5"/>
        <v>1360</v>
      </c>
      <c r="J69" s="64"/>
      <c r="L69" s="24"/>
      <c r="M69" s="24"/>
    </row>
    <row r="70" spans="1:13" ht="15" customHeight="1" x14ac:dyDescent="0.2">
      <c r="A70" s="86"/>
      <c r="B70" s="87"/>
      <c r="C70" s="76">
        <v>1000</v>
      </c>
      <c r="D70" s="76"/>
      <c r="E70" s="86"/>
      <c r="F70" s="87"/>
      <c r="G70" s="63">
        <f>MROUND(1525*$I$8,5)</f>
        <v>1570</v>
      </c>
      <c r="H70" s="63"/>
      <c r="I70" s="64">
        <f t="shared" si="5"/>
        <v>1570</v>
      </c>
      <c r="J70" s="64"/>
      <c r="L70" s="24"/>
      <c r="M70" s="24"/>
    </row>
    <row r="71" spans="1:13" ht="15" customHeight="1" x14ac:dyDescent="0.2">
      <c r="A71" s="77" t="s">
        <v>51</v>
      </c>
      <c r="B71" s="78"/>
      <c r="C71" s="76">
        <v>200</v>
      </c>
      <c r="D71" s="76"/>
      <c r="E71" s="85">
        <v>1500</v>
      </c>
      <c r="F71" s="78"/>
      <c r="G71" s="63">
        <f>MROUND(1000*$I$8,5)</f>
        <v>1030</v>
      </c>
      <c r="H71" s="63"/>
      <c r="I71" s="64">
        <f t="shared" si="5"/>
        <v>1030</v>
      </c>
      <c r="J71" s="64"/>
      <c r="L71" s="24"/>
      <c r="M71" s="24"/>
    </row>
    <row r="72" spans="1:13" ht="15" customHeight="1" x14ac:dyDescent="0.2">
      <c r="A72" s="79"/>
      <c r="B72" s="80"/>
      <c r="C72" s="76">
        <v>250</v>
      </c>
      <c r="D72" s="76"/>
      <c r="E72" s="79"/>
      <c r="F72" s="80"/>
      <c r="G72" s="63">
        <f>MROUND(1055*$I$8,5)</f>
        <v>1085</v>
      </c>
      <c r="H72" s="63"/>
      <c r="I72" s="64">
        <f t="shared" si="5"/>
        <v>1085</v>
      </c>
      <c r="J72" s="64"/>
      <c r="L72" s="24"/>
      <c r="M72" s="24"/>
    </row>
    <row r="73" spans="1:13" ht="15" customHeight="1" x14ac:dyDescent="0.2">
      <c r="A73" s="79"/>
      <c r="B73" s="80"/>
      <c r="C73" s="76">
        <v>315</v>
      </c>
      <c r="D73" s="76"/>
      <c r="E73" s="79"/>
      <c r="F73" s="80"/>
      <c r="G73" s="63">
        <f>MROUND(1140*$I$8,5)</f>
        <v>1175</v>
      </c>
      <c r="H73" s="63"/>
      <c r="I73" s="64">
        <f t="shared" si="5"/>
        <v>1175</v>
      </c>
      <c r="J73" s="64"/>
      <c r="L73" s="24"/>
      <c r="M73" s="24"/>
    </row>
    <row r="74" spans="1:13" ht="15" customHeight="1" x14ac:dyDescent="0.2">
      <c r="A74" s="79"/>
      <c r="B74" s="80"/>
      <c r="C74" s="76">
        <v>400</v>
      </c>
      <c r="D74" s="76"/>
      <c r="E74" s="79"/>
      <c r="F74" s="80"/>
      <c r="G74" s="63">
        <f>MROUND(1285*$I$8,5)</f>
        <v>1325</v>
      </c>
      <c r="H74" s="63"/>
      <c r="I74" s="64">
        <f t="shared" si="5"/>
        <v>1325</v>
      </c>
      <c r="J74" s="64"/>
      <c r="L74" s="24"/>
      <c r="M74" s="24"/>
    </row>
    <row r="75" spans="1:13" ht="15" customHeight="1" x14ac:dyDescent="0.2">
      <c r="A75" s="79"/>
      <c r="B75" s="80"/>
      <c r="C75" s="76">
        <v>500</v>
      </c>
      <c r="D75" s="76"/>
      <c r="E75" s="79"/>
      <c r="F75" s="80"/>
      <c r="G75" s="63">
        <f>MROUND(1420*$I$8,5)</f>
        <v>1465</v>
      </c>
      <c r="H75" s="63"/>
      <c r="I75" s="64">
        <f t="shared" si="5"/>
        <v>1465</v>
      </c>
      <c r="J75" s="64"/>
      <c r="L75" s="24"/>
      <c r="M75" s="24"/>
    </row>
    <row r="76" spans="1:13" ht="15" customHeight="1" x14ac:dyDescent="0.2">
      <c r="A76" s="79"/>
      <c r="B76" s="80"/>
      <c r="C76" s="76">
        <v>630</v>
      </c>
      <c r="D76" s="76"/>
      <c r="E76" s="79"/>
      <c r="F76" s="80"/>
      <c r="G76" s="63">
        <f>MROUND(1690*$I$8,5)</f>
        <v>1740</v>
      </c>
      <c r="H76" s="63"/>
      <c r="I76" s="64">
        <f t="shared" si="5"/>
        <v>1740</v>
      </c>
      <c r="J76" s="64"/>
      <c r="L76" s="24"/>
      <c r="M76" s="24"/>
    </row>
    <row r="77" spans="1:13" ht="15" customHeight="1" x14ac:dyDescent="0.2">
      <c r="A77" s="79"/>
      <c r="B77" s="80"/>
      <c r="C77" s="76">
        <v>710</v>
      </c>
      <c r="D77" s="76"/>
      <c r="E77" s="79"/>
      <c r="F77" s="80"/>
      <c r="G77" s="63">
        <f>MROUND(1855*$I$8,5)</f>
        <v>1910</v>
      </c>
      <c r="H77" s="63"/>
      <c r="I77" s="64">
        <f t="shared" ref="I77" si="7">ROUND(G77*$J$58,0)</f>
        <v>1910</v>
      </c>
      <c r="J77" s="64"/>
      <c r="L77" s="24"/>
      <c r="M77" s="24"/>
    </row>
    <row r="78" spans="1:13" ht="15" customHeight="1" x14ac:dyDescent="0.2">
      <c r="A78" s="79"/>
      <c r="B78" s="80"/>
      <c r="C78" s="76">
        <v>800</v>
      </c>
      <c r="D78" s="76"/>
      <c r="E78" s="79"/>
      <c r="F78" s="80"/>
      <c r="G78" s="63">
        <f>MROUND(1980*$I$8,5)</f>
        <v>2040</v>
      </c>
      <c r="H78" s="63"/>
      <c r="I78" s="64">
        <f t="shared" si="5"/>
        <v>2040</v>
      </c>
      <c r="J78" s="64"/>
      <c r="L78" s="24"/>
      <c r="M78" s="24"/>
    </row>
    <row r="79" spans="1:13" ht="15" customHeight="1" x14ac:dyDescent="0.2">
      <c r="A79" s="86"/>
      <c r="B79" s="87"/>
      <c r="C79" s="76">
        <v>1000</v>
      </c>
      <c r="D79" s="76"/>
      <c r="E79" s="86"/>
      <c r="F79" s="87"/>
      <c r="G79" s="63">
        <f>MROUND(2290*$I$8,5)</f>
        <v>2360</v>
      </c>
      <c r="H79" s="63"/>
      <c r="I79" s="64">
        <f t="shared" si="5"/>
        <v>2360</v>
      </c>
      <c r="J79" s="64"/>
      <c r="L79" s="24"/>
      <c r="M79" s="24"/>
    </row>
    <row r="80" spans="1:13" ht="15" customHeight="1" x14ac:dyDescent="0.2">
      <c r="A80" s="77" t="s">
        <v>51</v>
      </c>
      <c r="B80" s="78"/>
      <c r="C80" s="76">
        <v>200</v>
      </c>
      <c r="D80" s="76"/>
      <c r="E80" s="85">
        <v>2000</v>
      </c>
      <c r="F80" s="78"/>
      <c r="G80" s="63">
        <f>MROUND(1330*$I$8,5)</f>
        <v>1370</v>
      </c>
      <c r="H80" s="63"/>
      <c r="I80" s="64">
        <f t="shared" si="5"/>
        <v>1370</v>
      </c>
      <c r="J80" s="64"/>
      <c r="L80" s="24"/>
      <c r="M80" s="24"/>
    </row>
    <row r="81" spans="1:19" ht="15" customHeight="1" x14ac:dyDescent="0.2">
      <c r="A81" s="79"/>
      <c r="B81" s="80"/>
      <c r="C81" s="76">
        <v>250</v>
      </c>
      <c r="D81" s="76"/>
      <c r="E81" s="79"/>
      <c r="F81" s="80"/>
      <c r="G81" s="63">
        <f>MROUND(1410*$I$8,5)</f>
        <v>1450</v>
      </c>
      <c r="H81" s="63"/>
      <c r="I81" s="64">
        <f t="shared" si="5"/>
        <v>1450</v>
      </c>
      <c r="J81" s="64"/>
      <c r="L81" s="24"/>
      <c r="M81" s="24"/>
    </row>
    <row r="82" spans="1:19" ht="15" customHeight="1" x14ac:dyDescent="0.2">
      <c r="A82" s="79"/>
      <c r="B82" s="80"/>
      <c r="C82" s="76">
        <v>315</v>
      </c>
      <c r="D82" s="76"/>
      <c r="E82" s="79"/>
      <c r="F82" s="80"/>
      <c r="G82" s="63">
        <f>MROUND(1520*$I$8,5)</f>
        <v>1565</v>
      </c>
      <c r="H82" s="63"/>
      <c r="I82" s="64">
        <f t="shared" si="5"/>
        <v>1565</v>
      </c>
      <c r="J82" s="64"/>
      <c r="L82" s="24"/>
      <c r="M82" s="24"/>
    </row>
    <row r="83" spans="1:19" ht="15" customHeight="1" x14ac:dyDescent="0.2">
      <c r="A83" s="79"/>
      <c r="B83" s="80"/>
      <c r="C83" s="76">
        <v>400</v>
      </c>
      <c r="D83" s="76"/>
      <c r="E83" s="79"/>
      <c r="F83" s="80"/>
      <c r="G83" s="63">
        <f>MROUND(1715*$I$8,5)</f>
        <v>1765</v>
      </c>
      <c r="H83" s="63"/>
      <c r="I83" s="64">
        <f t="shared" si="5"/>
        <v>1765</v>
      </c>
      <c r="J83" s="64"/>
      <c r="L83" s="24"/>
      <c r="M83" s="24"/>
    </row>
    <row r="84" spans="1:19" ht="15" customHeight="1" x14ac:dyDescent="0.2">
      <c r="A84" s="79"/>
      <c r="B84" s="80"/>
      <c r="C84" s="76">
        <v>500</v>
      </c>
      <c r="D84" s="76"/>
      <c r="E84" s="79"/>
      <c r="F84" s="80"/>
      <c r="G84" s="63">
        <f>MROUND(1890*$I$8,5)</f>
        <v>1945</v>
      </c>
      <c r="H84" s="63"/>
      <c r="I84" s="64">
        <f t="shared" si="5"/>
        <v>1945</v>
      </c>
      <c r="J84" s="64"/>
      <c r="L84" s="24"/>
      <c r="M84" s="24"/>
    </row>
    <row r="85" spans="1:19" ht="15" customHeight="1" x14ac:dyDescent="0.2">
      <c r="A85" s="79"/>
      <c r="B85" s="80"/>
      <c r="C85" s="76">
        <v>630</v>
      </c>
      <c r="D85" s="76"/>
      <c r="E85" s="79"/>
      <c r="F85" s="80"/>
      <c r="G85" s="63">
        <f>MROUND(2255*$I$8,5)</f>
        <v>2325</v>
      </c>
      <c r="H85" s="63"/>
      <c r="I85" s="64">
        <f t="shared" si="5"/>
        <v>2325</v>
      </c>
      <c r="J85" s="64"/>
      <c r="L85" s="24"/>
      <c r="M85" s="24"/>
    </row>
    <row r="86" spans="1:19" ht="15" customHeight="1" x14ac:dyDescent="0.2">
      <c r="A86" s="79"/>
      <c r="B86" s="80"/>
      <c r="C86" s="76">
        <v>710</v>
      </c>
      <c r="D86" s="76"/>
      <c r="E86" s="79"/>
      <c r="F86" s="80"/>
      <c r="G86" s="63">
        <f>MROUND(2460*$I$8,5)</f>
        <v>2535</v>
      </c>
      <c r="H86" s="63"/>
      <c r="I86" s="64">
        <f t="shared" ref="I86" si="8">ROUND(G86*$J$58,0)</f>
        <v>2535</v>
      </c>
      <c r="J86" s="64"/>
      <c r="L86" s="24"/>
      <c r="M86" s="24"/>
    </row>
    <row r="87" spans="1:19" ht="15" customHeight="1" x14ac:dyDescent="0.2">
      <c r="A87" s="79"/>
      <c r="B87" s="80"/>
      <c r="C87" s="76">
        <v>800</v>
      </c>
      <c r="D87" s="76"/>
      <c r="E87" s="79"/>
      <c r="F87" s="80"/>
      <c r="G87" s="63">
        <f>MROUND(2640*$I$8,5)</f>
        <v>2720</v>
      </c>
      <c r="H87" s="63"/>
      <c r="I87" s="64">
        <f t="shared" si="5"/>
        <v>2720</v>
      </c>
      <c r="J87" s="64"/>
      <c r="L87" s="24"/>
      <c r="M87" s="24"/>
    </row>
    <row r="88" spans="1:19" ht="15" customHeight="1" x14ac:dyDescent="0.2">
      <c r="A88" s="86"/>
      <c r="B88" s="87"/>
      <c r="C88" s="76">
        <v>1000</v>
      </c>
      <c r="D88" s="76"/>
      <c r="E88" s="86"/>
      <c r="F88" s="87"/>
      <c r="G88" s="63">
        <f>MROUND(3045*$I$8,5)</f>
        <v>3135</v>
      </c>
      <c r="H88" s="63"/>
      <c r="I88" s="64">
        <f t="shared" si="5"/>
        <v>3135</v>
      </c>
      <c r="J88" s="64"/>
      <c r="L88" s="24"/>
      <c r="M88" s="24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5" t="s">
        <v>54</v>
      </c>
      <c r="B90" s="65"/>
      <c r="C90" s="65"/>
      <c r="D90" s="65"/>
      <c r="E90" s="65"/>
      <c r="F90" s="65"/>
      <c r="G90" s="65"/>
      <c r="H90" s="65"/>
      <c r="I90" s="11">
        <v>25</v>
      </c>
      <c r="J90" s="11">
        <v>100</v>
      </c>
    </row>
    <row r="91" spans="1:19" ht="15" customHeight="1" x14ac:dyDescent="0.2">
      <c r="A91" s="61" t="s">
        <v>53</v>
      </c>
      <c r="B91" s="61"/>
      <c r="C91" s="61"/>
      <c r="D91" s="61"/>
      <c r="E91" s="61"/>
      <c r="F91" s="61"/>
      <c r="G91" s="61"/>
      <c r="H91" s="61"/>
      <c r="I91" s="61"/>
      <c r="J91" s="61"/>
    </row>
    <row r="92" spans="1:19" ht="15" customHeight="1" x14ac:dyDescent="0.2">
      <c r="A92" s="83" t="s">
        <v>45</v>
      </c>
      <c r="B92" s="84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74" t="s">
        <v>181</v>
      </c>
      <c r="B93" s="75"/>
      <c r="C93" s="25">
        <f>MROUND(210*$I$8*$J$58,5)</f>
        <v>215</v>
      </c>
      <c r="D93" s="25">
        <f>MROUND(215*$I$8*$J$58,5)</f>
        <v>220</v>
      </c>
      <c r="E93" s="25">
        <f>MROUND(225*$I$8*$J$58,5)</f>
        <v>230</v>
      </c>
      <c r="F93" s="25">
        <f>MROUND(240*$I$8*$J$58,5)</f>
        <v>245</v>
      </c>
      <c r="G93" s="25">
        <f>MROUND(260*$I$8*$J$58,5)</f>
        <v>270</v>
      </c>
      <c r="H93" s="25">
        <f>MROUND(285*$I$8*$J$58,5)</f>
        <v>295</v>
      </c>
      <c r="I93" s="25">
        <f>MROUND(315*$I$8*$J$58,5)</f>
        <v>325</v>
      </c>
      <c r="J93" s="25">
        <f>MROUND(345*$I$8*$J$58,5)</f>
        <v>355</v>
      </c>
      <c r="L93" s="23"/>
      <c r="M93" s="23"/>
      <c r="N93" s="23"/>
      <c r="O93" s="23"/>
      <c r="P93" s="23"/>
      <c r="Q93" s="23"/>
      <c r="R93" s="23"/>
      <c r="S93" s="23"/>
    </row>
    <row r="94" spans="1:19" ht="15" customHeight="1" x14ac:dyDescent="0.2">
      <c r="A94" s="74" t="s">
        <v>182</v>
      </c>
      <c r="B94" s="75"/>
      <c r="C94" s="25">
        <f>MROUND(190*$I$8*$J$58,5)</f>
        <v>195</v>
      </c>
      <c r="D94" s="25">
        <f>MROUND(200*$I$8*$J$58,5)</f>
        <v>205</v>
      </c>
      <c r="E94" s="25">
        <f>MROUND(210*$I$8*$J$58,5)</f>
        <v>215</v>
      </c>
      <c r="F94" s="25">
        <f>MROUND(225*$I$8*$J$58,5)</f>
        <v>230</v>
      </c>
      <c r="G94" s="25">
        <f>MROUND(240*$I$8*$J$58,5)</f>
        <v>245</v>
      </c>
      <c r="H94" s="25">
        <f>MROUND(255*$I$8*$J$58,5)</f>
        <v>265</v>
      </c>
      <c r="I94" s="25">
        <f>MROUND(280*$I$8*$J$58,5)</f>
        <v>290</v>
      </c>
      <c r="J94" s="25">
        <f>MROUND(300*$I$8*$J$58,5)</f>
        <v>310</v>
      </c>
      <c r="L94" s="23"/>
      <c r="M94" s="23"/>
      <c r="N94" s="23"/>
      <c r="O94" s="23"/>
      <c r="P94" s="23"/>
      <c r="Q94" s="23"/>
      <c r="R94" s="23"/>
      <c r="S94" s="23"/>
    </row>
    <row r="95" spans="1:19" ht="15" customHeight="1" x14ac:dyDescent="0.2">
      <c r="A95" s="74" t="s">
        <v>183</v>
      </c>
      <c r="B95" s="75"/>
      <c r="C95" s="10">
        <f>C94+C93</f>
        <v>410</v>
      </c>
      <c r="D95" s="25">
        <f t="shared" ref="D95:J95" si="9">D94+D93</f>
        <v>425</v>
      </c>
      <c r="E95" s="25">
        <f t="shared" si="9"/>
        <v>445</v>
      </c>
      <c r="F95" s="25">
        <f t="shared" si="9"/>
        <v>475</v>
      </c>
      <c r="G95" s="25">
        <f t="shared" si="9"/>
        <v>515</v>
      </c>
      <c r="H95" s="25">
        <f t="shared" si="9"/>
        <v>560</v>
      </c>
      <c r="I95" s="25">
        <f t="shared" si="9"/>
        <v>615</v>
      </c>
      <c r="J95" s="25">
        <f t="shared" si="9"/>
        <v>665</v>
      </c>
      <c r="L95" s="23"/>
      <c r="M95" s="23"/>
      <c r="N95" s="23"/>
      <c r="O95" s="23"/>
      <c r="P95" s="23"/>
      <c r="Q95" s="23"/>
      <c r="R95" s="23"/>
      <c r="S95" s="23"/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168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169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4" t="s">
        <v>2</v>
      </c>
      <c r="J105" s="54"/>
    </row>
    <row r="106" spans="1:13" ht="15" customHeight="1" x14ac:dyDescent="0.2">
      <c r="A106" s="55" t="s">
        <v>56</v>
      </c>
      <c r="B106" s="55"/>
      <c r="C106" s="55"/>
      <c r="D106" s="55"/>
      <c r="E106" s="55"/>
      <c r="F106" s="55"/>
      <c r="G106" s="55"/>
      <c r="H106" s="56"/>
      <c r="I106" s="69">
        <f>I6</f>
        <v>0</v>
      </c>
      <c r="J106" s="70"/>
    </row>
    <row r="107" spans="1:13" ht="15" customHeight="1" thickBot="1" x14ac:dyDescent="0.25">
      <c r="A107" s="55"/>
      <c r="B107" s="55"/>
      <c r="C107" s="55"/>
      <c r="D107" s="55"/>
      <c r="E107" s="55"/>
      <c r="F107" s="55"/>
      <c r="G107" s="55"/>
      <c r="H107" s="56"/>
      <c r="I107" s="71"/>
      <c r="J107" s="72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5" t="s">
        <v>38</v>
      </c>
      <c r="B109" s="65"/>
      <c r="C109" s="65"/>
      <c r="D109" s="65"/>
      <c r="E109" s="65"/>
      <c r="F109" s="65"/>
      <c r="G109" s="65"/>
      <c r="H109" s="65"/>
      <c r="I109" s="73" t="s">
        <v>39</v>
      </c>
      <c r="J109" s="73"/>
    </row>
    <row r="110" spans="1:13" ht="15" customHeight="1" x14ac:dyDescent="0.2">
      <c r="A110" s="61" t="s">
        <v>50</v>
      </c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3" ht="15" customHeight="1" x14ac:dyDescent="0.25">
      <c r="A111" s="68" t="s">
        <v>42</v>
      </c>
      <c r="B111" s="68"/>
      <c r="C111" s="68" t="s">
        <v>43</v>
      </c>
      <c r="D111" s="68"/>
      <c r="E111" s="68" t="s">
        <v>44</v>
      </c>
      <c r="F111" s="68"/>
      <c r="G111" s="68" t="s">
        <v>186</v>
      </c>
      <c r="H111" s="68"/>
      <c r="I111" s="68" t="s">
        <v>41</v>
      </c>
      <c r="J111" s="68"/>
    </row>
    <row r="112" spans="1:13" ht="15" customHeight="1" x14ac:dyDescent="0.2">
      <c r="A112" s="77" t="s">
        <v>52</v>
      </c>
      <c r="B112" s="78"/>
      <c r="C112" s="76">
        <v>315</v>
      </c>
      <c r="D112" s="76"/>
      <c r="E112" s="85">
        <v>1000</v>
      </c>
      <c r="F112" s="78"/>
      <c r="G112" s="63">
        <f>MROUND(980*$I$8,5)</f>
        <v>1010</v>
      </c>
      <c r="H112" s="63"/>
      <c r="I112" s="64">
        <f>ROUND(G112*$J$108,0)</f>
        <v>1010</v>
      </c>
      <c r="J112" s="64"/>
      <c r="L112" s="24"/>
      <c r="M112" s="24"/>
    </row>
    <row r="113" spans="1:13" ht="15" customHeight="1" x14ac:dyDescent="0.2">
      <c r="A113" s="79"/>
      <c r="B113" s="80"/>
      <c r="C113" s="76">
        <v>400</v>
      </c>
      <c r="D113" s="76"/>
      <c r="E113" s="79"/>
      <c r="F113" s="80"/>
      <c r="G113" s="63">
        <f>MROUND(1095*$I$8,5)</f>
        <v>1130</v>
      </c>
      <c r="H113" s="63"/>
      <c r="I113" s="64">
        <f t="shared" ref="I113:I132" si="10">ROUND(G113*$J$108,0)</f>
        <v>1130</v>
      </c>
      <c r="J113" s="64"/>
      <c r="L113" s="24"/>
      <c r="M113" s="24"/>
    </row>
    <row r="114" spans="1:13" ht="15" customHeight="1" x14ac:dyDescent="0.2">
      <c r="A114" s="79"/>
      <c r="B114" s="80"/>
      <c r="C114" s="76">
        <v>500</v>
      </c>
      <c r="D114" s="76"/>
      <c r="E114" s="79"/>
      <c r="F114" s="80"/>
      <c r="G114" s="63">
        <f>MROUND(1220*$I$8,5)</f>
        <v>1255</v>
      </c>
      <c r="H114" s="63"/>
      <c r="I114" s="64">
        <f t="shared" si="10"/>
        <v>1255</v>
      </c>
      <c r="J114" s="64"/>
      <c r="L114" s="24"/>
      <c r="M114" s="24"/>
    </row>
    <row r="115" spans="1:13" ht="15" customHeight="1" x14ac:dyDescent="0.2">
      <c r="A115" s="79"/>
      <c r="B115" s="80"/>
      <c r="C115" s="76">
        <v>630</v>
      </c>
      <c r="D115" s="76"/>
      <c r="E115" s="79"/>
      <c r="F115" s="80"/>
      <c r="G115" s="63">
        <f>MROUND(1430*$I$8,5)</f>
        <v>1475</v>
      </c>
      <c r="H115" s="63"/>
      <c r="I115" s="64">
        <f t="shared" si="10"/>
        <v>1475</v>
      </c>
      <c r="J115" s="64"/>
      <c r="L115" s="24"/>
      <c r="M115" s="24"/>
    </row>
    <row r="116" spans="1:13" ht="15" customHeight="1" x14ac:dyDescent="0.2">
      <c r="A116" s="79"/>
      <c r="B116" s="80"/>
      <c r="C116" s="76">
        <v>710</v>
      </c>
      <c r="D116" s="76"/>
      <c r="E116" s="79"/>
      <c r="F116" s="80"/>
      <c r="G116" s="63">
        <f>MROUND(1575*$I$8,5)</f>
        <v>1620</v>
      </c>
      <c r="H116" s="63"/>
      <c r="I116" s="64">
        <f t="shared" si="10"/>
        <v>1620</v>
      </c>
      <c r="J116" s="64"/>
      <c r="L116" s="24"/>
      <c r="M116" s="24"/>
    </row>
    <row r="117" spans="1:13" ht="15" customHeight="1" x14ac:dyDescent="0.2">
      <c r="A117" s="79"/>
      <c r="B117" s="80"/>
      <c r="C117" s="76">
        <v>800</v>
      </c>
      <c r="D117" s="76"/>
      <c r="E117" s="79"/>
      <c r="F117" s="80"/>
      <c r="G117" s="63">
        <f>MROUND(1680*$I$8,5)</f>
        <v>1730</v>
      </c>
      <c r="H117" s="63"/>
      <c r="I117" s="64">
        <f t="shared" si="10"/>
        <v>1730</v>
      </c>
      <c r="J117" s="64"/>
      <c r="L117" s="24"/>
      <c r="M117" s="24"/>
    </row>
    <row r="118" spans="1:13" ht="15" customHeight="1" x14ac:dyDescent="0.2">
      <c r="A118" s="79"/>
      <c r="B118" s="80"/>
      <c r="C118" s="76">
        <v>1000</v>
      </c>
      <c r="D118" s="76"/>
      <c r="E118" s="79"/>
      <c r="F118" s="80"/>
      <c r="G118" s="63">
        <f>MROUND(1935*$I$8,5)</f>
        <v>1995</v>
      </c>
      <c r="H118" s="63"/>
      <c r="I118" s="64">
        <f t="shared" si="10"/>
        <v>1995</v>
      </c>
      <c r="J118" s="64"/>
      <c r="L118" s="24"/>
      <c r="M118" s="24"/>
    </row>
    <row r="119" spans="1:13" ht="15" customHeight="1" x14ac:dyDescent="0.2">
      <c r="A119" s="77" t="s">
        <v>52</v>
      </c>
      <c r="B119" s="78"/>
      <c r="C119" s="76">
        <v>315</v>
      </c>
      <c r="D119" s="76"/>
      <c r="E119" s="85">
        <v>1500</v>
      </c>
      <c r="F119" s="78"/>
      <c r="G119" s="63">
        <f>MROUND(1470*$I$8,5)</f>
        <v>1515</v>
      </c>
      <c r="H119" s="63"/>
      <c r="I119" s="64">
        <f t="shared" si="10"/>
        <v>1515</v>
      </c>
      <c r="J119" s="64"/>
      <c r="L119" s="24"/>
      <c r="M119" s="24"/>
    </row>
    <row r="120" spans="1:13" ht="15" customHeight="1" x14ac:dyDescent="0.2">
      <c r="A120" s="79"/>
      <c r="B120" s="80"/>
      <c r="C120" s="76">
        <v>400</v>
      </c>
      <c r="D120" s="76"/>
      <c r="E120" s="79"/>
      <c r="F120" s="80"/>
      <c r="G120" s="63">
        <f>MROUND(1645*$I$8,5)</f>
        <v>1695</v>
      </c>
      <c r="H120" s="63"/>
      <c r="I120" s="64">
        <f t="shared" si="10"/>
        <v>1695</v>
      </c>
      <c r="J120" s="64"/>
      <c r="L120" s="24"/>
      <c r="M120" s="24"/>
    </row>
    <row r="121" spans="1:13" ht="15" customHeight="1" x14ac:dyDescent="0.2">
      <c r="A121" s="79"/>
      <c r="B121" s="80"/>
      <c r="C121" s="76">
        <v>500</v>
      </c>
      <c r="D121" s="76"/>
      <c r="E121" s="79"/>
      <c r="F121" s="80"/>
      <c r="G121" s="63">
        <f>MROUND(1830*$I$8,5)</f>
        <v>1885</v>
      </c>
      <c r="H121" s="63"/>
      <c r="I121" s="64">
        <f t="shared" si="10"/>
        <v>1885</v>
      </c>
      <c r="J121" s="64"/>
      <c r="L121" s="24"/>
      <c r="M121" s="24"/>
    </row>
    <row r="122" spans="1:13" ht="15" customHeight="1" x14ac:dyDescent="0.2">
      <c r="A122" s="79"/>
      <c r="B122" s="80"/>
      <c r="C122" s="76">
        <v>630</v>
      </c>
      <c r="D122" s="76"/>
      <c r="E122" s="79"/>
      <c r="F122" s="80"/>
      <c r="G122" s="63">
        <f>MROUND(2145*$I$8,5)</f>
        <v>2210</v>
      </c>
      <c r="H122" s="63"/>
      <c r="I122" s="64">
        <f t="shared" si="10"/>
        <v>2210</v>
      </c>
      <c r="J122" s="64"/>
      <c r="L122" s="24"/>
      <c r="M122" s="24"/>
    </row>
    <row r="123" spans="1:13" ht="15" customHeight="1" x14ac:dyDescent="0.2">
      <c r="A123" s="79"/>
      <c r="B123" s="80"/>
      <c r="C123" s="76">
        <v>710</v>
      </c>
      <c r="D123" s="76"/>
      <c r="E123" s="79"/>
      <c r="F123" s="80"/>
      <c r="G123" s="63">
        <f>MROUND(2360*$I$8,5)</f>
        <v>2430</v>
      </c>
      <c r="H123" s="63"/>
      <c r="I123" s="64">
        <f t="shared" si="10"/>
        <v>2430</v>
      </c>
      <c r="J123" s="64"/>
      <c r="L123" s="24"/>
      <c r="M123" s="24"/>
    </row>
    <row r="124" spans="1:13" ht="15" customHeight="1" x14ac:dyDescent="0.2">
      <c r="A124" s="79"/>
      <c r="B124" s="80"/>
      <c r="C124" s="76">
        <v>800</v>
      </c>
      <c r="D124" s="76"/>
      <c r="E124" s="79"/>
      <c r="F124" s="80"/>
      <c r="G124" s="63">
        <f>MROUND(2520*$I$8,5)</f>
        <v>2595</v>
      </c>
      <c r="H124" s="63"/>
      <c r="I124" s="64">
        <f t="shared" si="10"/>
        <v>2595</v>
      </c>
      <c r="J124" s="64"/>
      <c r="L124" s="24"/>
      <c r="M124" s="24"/>
    </row>
    <row r="125" spans="1:13" ht="15" customHeight="1" x14ac:dyDescent="0.2">
      <c r="A125" s="79"/>
      <c r="B125" s="80"/>
      <c r="C125" s="76">
        <v>1000</v>
      </c>
      <c r="D125" s="76"/>
      <c r="E125" s="79"/>
      <c r="F125" s="80"/>
      <c r="G125" s="63">
        <f>MROUND(2905*$I$8,5)</f>
        <v>2990</v>
      </c>
      <c r="H125" s="63"/>
      <c r="I125" s="64">
        <f t="shared" si="10"/>
        <v>2990</v>
      </c>
      <c r="J125" s="64"/>
      <c r="L125" s="24"/>
      <c r="M125" s="24"/>
    </row>
    <row r="126" spans="1:13" ht="15" customHeight="1" x14ac:dyDescent="0.2">
      <c r="A126" s="81" t="s">
        <v>52</v>
      </c>
      <c r="B126" s="82"/>
      <c r="C126" s="76">
        <v>315</v>
      </c>
      <c r="D126" s="76"/>
      <c r="E126" s="82">
        <v>2000</v>
      </c>
      <c r="F126" s="82"/>
      <c r="G126" s="63">
        <f>MROUND(1960*$I$8,5)</f>
        <v>2020</v>
      </c>
      <c r="H126" s="63"/>
      <c r="I126" s="64">
        <f t="shared" si="10"/>
        <v>2020</v>
      </c>
      <c r="J126" s="64"/>
      <c r="L126" s="24"/>
      <c r="M126" s="24"/>
    </row>
    <row r="127" spans="1:13" ht="15" customHeight="1" x14ac:dyDescent="0.2">
      <c r="A127" s="82"/>
      <c r="B127" s="82"/>
      <c r="C127" s="76">
        <v>400</v>
      </c>
      <c r="D127" s="76"/>
      <c r="E127" s="82"/>
      <c r="F127" s="82"/>
      <c r="G127" s="63">
        <f>MROUND(2190*$I$8,5)</f>
        <v>2255</v>
      </c>
      <c r="H127" s="63"/>
      <c r="I127" s="64">
        <f t="shared" si="10"/>
        <v>2255</v>
      </c>
      <c r="J127" s="64"/>
      <c r="L127" s="24"/>
      <c r="M127" s="24"/>
    </row>
    <row r="128" spans="1:13" ht="15" customHeight="1" x14ac:dyDescent="0.2">
      <c r="A128" s="82"/>
      <c r="B128" s="82"/>
      <c r="C128" s="76">
        <v>500</v>
      </c>
      <c r="D128" s="76"/>
      <c r="E128" s="82"/>
      <c r="F128" s="82"/>
      <c r="G128" s="63">
        <f>MROUND(2440*$I$8,5)</f>
        <v>2515</v>
      </c>
      <c r="H128" s="63"/>
      <c r="I128" s="64">
        <f t="shared" si="10"/>
        <v>2515</v>
      </c>
      <c r="J128" s="64"/>
      <c r="L128" s="24"/>
      <c r="M128" s="24"/>
    </row>
    <row r="129" spans="1:19" ht="15" customHeight="1" x14ac:dyDescent="0.2">
      <c r="A129" s="82"/>
      <c r="B129" s="82"/>
      <c r="C129" s="76">
        <v>630</v>
      </c>
      <c r="D129" s="76"/>
      <c r="E129" s="82"/>
      <c r="F129" s="82"/>
      <c r="G129" s="63">
        <f>MROUND(2860*$I$8,5)</f>
        <v>2945</v>
      </c>
      <c r="H129" s="63"/>
      <c r="I129" s="64">
        <f t="shared" si="10"/>
        <v>2945</v>
      </c>
      <c r="J129" s="64"/>
      <c r="L129" s="24"/>
      <c r="M129" s="24"/>
    </row>
    <row r="130" spans="1:19" ht="15" customHeight="1" x14ac:dyDescent="0.2">
      <c r="A130" s="82"/>
      <c r="B130" s="82"/>
      <c r="C130" s="76">
        <v>710</v>
      </c>
      <c r="D130" s="76"/>
      <c r="E130" s="82"/>
      <c r="F130" s="82"/>
      <c r="G130" s="63">
        <f>MROUND(3120*$I$8,5)</f>
        <v>3215</v>
      </c>
      <c r="H130" s="63"/>
      <c r="I130" s="64">
        <f t="shared" si="10"/>
        <v>3215</v>
      </c>
      <c r="J130" s="64"/>
      <c r="L130" s="24"/>
      <c r="M130" s="24"/>
    </row>
    <row r="131" spans="1:19" ht="15" customHeight="1" x14ac:dyDescent="0.2">
      <c r="A131" s="82"/>
      <c r="B131" s="82"/>
      <c r="C131" s="76">
        <v>800</v>
      </c>
      <c r="D131" s="76"/>
      <c r="E131" s="82"/>
      <c r="F131" s="82"/>
      <c r="G131" s="63">
        <f>MROUND(3355*$I$8,5)</f>
        <v>3455</v>
      </c>
      <c r="H131" s="63"/>
      <c r="I131" s="64">
        <f t="shared" si="10"/>
        <v>3455</v>
      </c>
      <c r="J131" s="64"/>
      <c r="L131" s="24"/>
      <c r="M131" s="24"/>
    </row>
    <row r="132" spans="1:19" ht="15" customHeight="1" x14ac:dyDescent="0.2">
      <c r="A132" s="82"/>
      <c r="B132" s="82"/>
      <c r="C132" s="76">
        <v>1000</v>
      </c>
      <c r="D132" s="76"/>
      <c r="E132" s="82"/>
      <c r="F132" s="82"/>
      <c r="G132" s="63">
        <f>MROUND(3870*$I$8,5)</f>
        <v>3985</v>
      </c>
      <c r="H132" s="63"/>
      <c r="I132" s="64">
        <f t="shared" si="10"/>
        <v>3985</v>
      </c>
      <c r="J132" s="64"/>
      <c r="L132" s="24"/>
      <c r="M132" s="24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5" t="s">
        <v>55</v>
      </c>
      <c r="B140" s="65"/>
      <c r="C140" s="65"/>
      <c r="D140" s="65"/>
      <c r="E140" s="65"/>
      <c r="F140" s="65"/>
      <c r="G140" s="65"/>
      <c r="H140" s="65"/>
      <c r="I140" s="11">
        <v>25</v>
      </c>
      <c r="J140" s="11">
        <v>100</v>
      </c>
    </row>
    <row r="141" spans="1:19" ht="15" customHeight="1" x14ac:dyDescent="0.2">
      <c r="A141" s="61" t="s">
        <v>53</v>
      </c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9" ht="15" customHeight="1" x14ac:dyDescent="0.2">
      <c r="A142" s="83" t="s">
        <v>45</v>
      </c>
      <c r="B142" s="84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74" t="s">
        <v>181</v>
      </c>
      <c r="B143" s="75"/>
      <c r="C143" s="25">
        <f>MROUND(225*$I$8*$J$108,5)</f>
        <v>230</v>
      </c>
      <c r="D143" s="25">
        <f>MROUND(240*$I$8*$J$108,5)</f>
        <v>245</v>
      </c>
      <c r="E143" s="25">
        <f>MROUND(255*$I$8*$J$108,5)</f>
        <v>265</v>
      </c>
      <c r="F143" s="25">
        <f>MROUND(275*$I$8*$J$108,5)</f>
        <v>285</v>
      </c>
      <c r="G143" s="25">
        <f>MROUND(300*$I$8*$J$108,5)</f>
        <v>310</v>
      </c>
      <c r="H143" s="25">
        <f>MROUND(340*$I$8*$J$108,5)</f>
        <v>350</v>
      </c>
      <c r="I143" s="25">
        <f>MROUND(375*$I$8*$J$108,5)</f>
        <v>385</v>
      </c>
      <c r="J143" s="25">
        <f>MROUND(430*$I$8*$J$108,5)</f>
        <v>445</v>
      </c>
      <c r="L143" s="23"/>
      <c r="M143" s="23"/>
      <c r="N143" s="23"/>
      <c r="O143" s="23"/>
      <c r="P143" s="23"/>
      <c r="Q143" s="23"/>
      <c r="R143" s="23"/>
      <c r="S143" s="23"/>
    </row>
    <row r="144" spans="1:19" ht="15" customHeight="1" x14ac:dyDescent="0.2">
      <c r="A144" s="74" t="s">
        <v>182</v>
      </c>
      <c r="B144" s="75"/>
      <c r="C144" s="25">
        <f>MROUND(210*$I$8*$J$108,5)</f>
        <v>215</v>
      </c>
      <c r="D144" s="25">
        <f>MROUND(215*$I$8*$J$108,5)</f>
        <v>220</v>
      </c>
      <c r="E144" s="25">
        <f>MROUND(230*$I$8*$J$108,5)</f>
        <v>235</v>
      </c>
      <c r="F144" s="25">
        <f>MROUND(245*$I$8*$J$108,5)</f>
        <v>250</v>
      </c>
      <c r="G144" s="25">
        <f>MROUND(260*$I$8*$J$108,5)</f>
        <v>270</v>
      </c>
      <c r="H144" s="25">
        <f>MROUND(290*$I$8*$J$108,5)</f>
        <v>300</v>
      </c>
      <c r="I144" s="25">
        <f>MROUND(325*$I$8*$J$108,5)</f>
        <v>335</v>
      </c>
      <c r="J144" s="25">
        <f>MROUND(360*$I$8*$J$108,5)</f>
        <v>370</v>
      </c>
      <c r="L144" s="23"/>
      <c r="M144" s="23"/>
      <c r="N144" s="23"/>
      <c r="O144" s="23"/>
      <c r="P144" s="23"/>
      <c r="Q144" s="23"/>
      <c r="R144" s="23"/>
      <c r="S144" s="23"/>
    </row>
    <row r="145" spans="1:19" ht="15" customHeight="1" x14ac:dyDescent="0.2">
      <c r="A145" s="74" t="s">
        <v>183</v>
      </c>
      <c r="B145" s="75"/>
      <c r="C145" s="25">
        <f>C144+C143</f>
        <v>445</v>
      </c>
      <c r="D145" s="25">
        <f t="shared" ref="D145" si="11">D144+D143</f>
        <v>465</v>
      </c>
      <c r="E145" s="25">
        <f t="shared" ref="E145" si="12">E144+E143</f>
        <v>500</v>
      </c>
      <c r="F145" s="25">
        <f t="shared" ref="F145" si="13">F144+F143</f>
        <v>535</v>
      </c>
      <c r="G145" s="25">
        <f t="shared" ref="G145" si="14">G144+G143</f>
        <v>580</v>
      </c>
      <c r="H145" s="25">
        <f t="shared" ref="H145" si="15">H144+H143</f>
        <v>650</v>
      </c>
      <c r="I145" s="25">
        <f t="shared" ref="I145" si="16">I144+I143</f>
        <v>720</v>
      </c>
      <c r="J145" s="25">
        <f t="shared" ref="J145" si="17">J144+J143</f>
        <v>815</v>
      </c>
      <c r="L145" s="23"/>
      <c r="M145" s="23"/>
      <c r="N145" s="23"/>
      <c r="O145" s="23"/>
      <c r="P145" s="23"/>
      <c r="Q145" s="23"/>
      <c r="R145" s="23"/>
      <c r="S145" s="23"/>
    </row>
    <row r="146" spans="1:19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9" ht="15" customHeight="1" x14ac:dyDescent="0.2">
      <c r="A147" s="3" t="s">
        <v>168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9" ht="15" customHeight="1" x14ac:dyDescent="0.2">
      <c r="A148" s="3" t="s">
        <v>169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9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9" ht="15" customHeight="1" x14ac:dyDescent="0.2">
      <c r="A150" s="4" t="s">
        <v>34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9" ht="15" customHeight="1" x14ac:dyDescent="0.2"/>
    <row r="152" spans="1:19" ht="15" customHeight="1" x14ac:dyDescent="0.2"/>
    <row r="153" spans="1:19" ht="15" customHeight="1" x14ac:dyDescent="0.2"/>
    <row r="154" spans="1:19" ht="15" customHeight="1" x14ac:dyDescent="0.2"/>
    <row r="155" spans="1:19" ht="15" customHeight="1" x14ac:dyDescent="0.2"/>
    <row r="156" spans="1:19" ht="15" customHeight="1" x14ac:dyDescent="0.2"/>
    <row r="157" spans="1:19" ht="15" customHeight="1" x14ac:dyDescent="0.2"/>
    <row r="158" spans="1:19" ht="15" customHeight="1" x14ac:dyDescent="0.2"/>
    <row r="159" spans="1:19" ht="15" customHeight="1" x14ac:dyDescent="0.2"/>
    <row r="160" spans="1:19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94">
    <mergeCell ref="I5:J5"/>
    <mergeCell ref="A6:H7"/>
    <mergeCell ref="I6:J7"/>
    <mergeCell ref="A9:H9"/>
    <mergeCell ref="I9:J9"/>
    <mergeCell ref="G11:H11"/>
    <mergeCell ref="I11:J11"/>
    <mergeCell ref="A11:B11"/>
    <mergeCell ref="C11:D11"/>
    <mergeCell ref="E11:F11"/>
    <mergeCell ref="G14:H14"/>
    <mergeCell ref="I14:J14"/>
    <mergeCell ref="G15:H15"/>
    <mergeCell ref="I15:J15"/>
    <mergeCell ref="C14:D14"/>
    <mergeCell ref="G12:H12"/>
    <mergeCell ref="I12:J12"/>
    <mergeCell ref="G13:H13"/>
    <mergeCell ref="I13:J13"/>
    <mergeCell ref="C12:D12"/>
    <mergeCell ref="C13:D13"/>
    <mergeCell ref="G21:H21"/>
    <mergeCell ref="I21:J21"/>
    <mergeCell ref="G22:H22"/>
    <mergeCell ref="G19:H19"/>
    <mergeCell ref="I19:J19"/>
    <mergeCell ref="G20:H20"/>
    <mergeCell ref="I20:J20"/>
    <mergeCell ref="C19:D19"/>
    <mergeCell ref="G16:H16"/>
    <mergeCell ref="I16:J16"/>
    <mergeCell ref="G17:H17"/>
    <mergeCell ref="I17:J17"/>
    <mergeCell ref="C17:D17"/>
    <mergeCell ref="I22:J22"/>
    <mergeCell ref="C18:D18"/>
    <mergeCell ref="G18:H18"/>
    <mergeCell ref="I18:J18"/>
    <mergeCell ref="A61:B61"/>
    <mergeCell ref="C61:D61"/>
    <mergeCell ref="E61:F61"/>
    <mergeCell ref="A62:B70"/>
    <mergeCell ref="I59:J59"/>
    <mergeCell ref="A59:H59"/>
    <mergeCell ref="A60:J60"/>
    <mergeCell ref="C62:D62"/>
    <mergeCell ref="E62:F70"/>
    <mergeCell ref="C63:D63"/>
    <mergeCell ref="G63:H63"/>
    <mergeCell ref="I63:J63"/>
    <mergeCell ref="C64:D64"/>
    <mergeCell ref="G64:H64"/>
    <mergeCell ref="I64:J64"/>
    <mergeCell ref="C65:D65"/>
    <mergeCell ref="G65:H65"/>
    <mergeCell ref="C69:D69"/>
    <mergeCell ref="G69:H69"/>
    <mergeCell ref="I69:J69"/>
    <mergeCell ref="C70:D70"/>
    <mergeCell ref="G70:H70"/>
    <mergeCell ref="I70:J70"/>
    <mergeCell ref="I65:J65"/>
    <mergeCell ref="G23:H23"/>
    <mergeCell ref="I23:J23"/>
    <mergeCell ref="G24:H24"/>
    <mergeCell ref="I24:J24"/>
    <mergeCell ref="G61:H61"/>
    <mergeCell ref="I61:J61"/>
    <mergeCell ref="G62:H62"/>
    <mergeCell ref="I62:J62"/>
    <mergeCell ref="G28:H28"/>
    <mergeCell ref="I28:J28"/>
    <mergeCell ref="G29:H29"/>
    <mergeCell ref="I29:J29"/>
    <mergeCell ref="G38:H38"/>
    <mergeCell ref="I38:J38"/>
    <mergeCell ref="G33:H33"/>
    <mergeCell ref="I33:J33"/>
    <mergeCell ref="C28:D28"/>
    <mergeCell ref="C29:D29"/>
    <mergeCell ref="G25:H25"/>
    <mergeCell ref="I25:J25"/>
    <mergeCell ref="G26:H26"/>
    <mergeCell ref="I26:J26"/>
    <mergeCell ref="C25:D25"/>
    <mergeCell ref="C26:D26"/>
    <mergeCell ref="G37:H37"/>
    <mergeCell ref="I37:J37"/>
    <mergeCell ref="C27:D27"/>
    <mergeCell ref="G27:H27"/>
    <mergeCell ref="I27:J27"/>
    <mergeCell ref="C30:D30"/>
    <mergeCell ref="E30:F38"/>
    <mergeCell ref="C31:D31"/>
    <mergeCell ref="G34:H34"/>
    <mergeCell ref="I34:J34"/>
    <mergeCell ref="G35:H35"/>
    <mergeCell ref="I35:J35"/>
    <mergeCell ref="C34:D34"/>
    <mergeCell ref="C35:D35"/>
    <mergeCell ref="G32:H32"/>
    <mergeCell ref="I32:J32"/>
    <mergeCell ref="C32:D32"/>
    <mergeCell ref="C33:D33"/>
    <mergeCell ref="G30:H30"/>
    <mergeCell ref="I30:J30"/>
    <mergeCell ref="G31:H31"/>
    <mergeCell ref="I31:J31"/>
    <mergeCell ref="C36:D36"/>
    <mergeCell ref="G36:H36"/>
    <mergeCell ref="I36:J36"/>
    <mergeCell ref="A44:B44"/>
    <mergeCell ref="A45:B45"/>
    <mergeCell ref="A10:J10"/>
    <mergeCell ref="I55:J55"/>
    <mergeCell ref="A56:H57"/>
    <mergeCell ref="I56:J57"/>
    <mergeCell ref="C37:D37"/>
    <mergeCell ref="C38:D38"/>
    <mergeCell ref="A42:B42"/>
    <mergeCell ref="A40:H40"/>
    <mergeCell ref="A43:B43"/>
    <mergeCell ref="C20:D20"/>
    <mergeCell ref="E12:F20"/>
    <mergeCell ref="A12:B20"/>
    <mergeCell ref="A21:B29"/>
    <mergeCell ref="C21:D21"/>
    <mergeCell ref="E21:F29"/>
    <mergeCell ref="C22:D22"/>
    <mergeCell ref="C23:D23"/>
    <mergeCell ref="C24:D24"/>
    <mergeCell ref="C15:D15"/>
    <mergeCell ref="C16:D16"/>
    <mergeCell ref="A30:B38"/>
    <mergeCell ref="A41:J41"/>
    <mergeCell ref="C66:D66"/>
    <mergeCell ref="G66:H66"/>
    <mergeCell ref="I66:J66"/>
    <mergeCell ref="C67:D67"/>
    <mergeCell ref="G67:H67"/>
    <mergeCell ref="I67:J67"/>
    <mergeCell ref="I74:J74"/>
    <mergeCell ref="C75:D75"/>
    <mergeCell ref="G75:H75"/>
    <mergeCell ref="I75:J75"/>
    <mergeCell ref="E71:F79"/>
    <mergeCell ref="G71:H71"/>
    <mergeCell ref="I71:J71"/>
    <mergeCell ref="C72:D72"/>
    <mergeCell ref="G72:H72"/>
    <mergeCell ref="I72:J72"/>
    <mergeCell ref="C73:D73"/>
    <mergeCell ref="G73:H73"/>
    <mergeCell ref="C79:D79"/>
    <mergeCell ref="G79:H79"/>
    <mergeCell ref="I79:J79"/>
    <mergeCell ref="C77:D77"/>
    <mergeCell ref="C68:D68"/>
    <mergeCell ref="G68:H68"/>
    <mergeCell ref="A71:B79"/>
    <mergeCell ref="C71:D71"/>
    <mergeCell ref="C84:D84"/>
    <mergeCell ref="G84:H84"/>
    <mergeCell ref="I84:J84"/>
    <mergeCell ref="C85:D85"/>
    <mergeCell ref="G85:H85"/>
    <mergeCell ref="I85:J85"/>
    <mergeCell ref="I81:J81"/>
    <mergeCell ref="C82:D82"/>
    <mergeCell ref="G82:H82"/>
    <mergeCell ref="I82:J82"/>
    <mergeCell ref="C83:D83"/>
    <mergeCell ref="G83:H83"/>
    <mergeCell ref="I83:J83"/>
    <mergeCell ref="C76:D76"/>
    <mergeCell ref="G76:H76"/>
    <mergeCell ref="I76:J76"/>
    <mergeCell ref="C78:D78"/>
    <mergeCell ref="G78:H78"/>
    <mergeCell ref="I78:J78"/>
    <mergeCell ref="I73:J73"/>
    <mergeCell ref="C74:D74"/>
    <mergeCell ref="G74:H74"/>
    <mergeCell ref="A90:H90"/>
    <mergeCell ref="A92:B92"/>
    <mergeCell ref="A93:B93"/>
    <mergeCell ref="A94:B94"/>
    <mergeCell ref="A95:B95"/>
    <mergeCell ref="C87:D87"/>
    <mergeCell ref="G87:H87"/>
    <mergeCell ref="I87:J87"/>
    <mergeCell ref="C88:D88"/>
    <mergeCell ref="G88:H88"/>
    <mergeCell ref="I88:J88"/>
    <mergeCell ref="A80:B88"/>
    <mergeCell ref="C80:D80"/>
    <mergeCell ref="E80:F88"/>
    <mergeCell ref="G80:H80"/>
    <mergeCell ref="I80:J80"/>
    <mergeCell ref="C81:D81"/>
    <mergeCell ref="G81:H81"/>
    <mergeCell ref="C86:D86"/>
    <mergeCell ref="A91:J91"/>
    <mergeCell ref="A110:J110"/>
    <mergeCell ref="A111:B111"/>
    <mergeCell ref="C111:D111"/>
    <mergeCell ref="E111:F111"/>
    <mergeCell ref="G111:H111"/>
    <mergeCell ref="I111:J111"/>
    <mergeCell ref="I105:J105"/>
    <mergeCell ref="A106:H107"/>
    <mergeCell ref="I106:J107"/>
    <mergeCell ref="A109:H109"/>
    <mergeCell ref="I109:J109"/>
    <mergeCell ref="I114:J114"/>
    <mergeCell ref="C115:D115"/>
    <mergeCell ref="G115:H115"/>
    <mergeCell ref="I115:J115"/>
    <mergeCell ref="C116:D116"/>
    <mergeCell ref="G116:H116"/>
    <mergeCell ref="I116:J116"/>
    <mergeCell ref="A112:B118"/>
    <mergeCell ref="C112:D112"/>
    <mergeCell ref="E112:F118"/>
    <mergeCell ref="G112:H112"/>
    <mergeCell ref="I112:J112"/>
    <mergeCell ref="C113:D113"/>
    <mergeCell ref="G113:H113"/>
    <mergeCell ref="I113:J113"/>
    <mergeCell ref="C114:D114"/>
    <mergeCell ref="G114:H114"/>
    <mergeCell ref="E119:F125"/>
    <mergeCell ref="G119:H119"/>
    <mergeCell ref="I119:J119"/>
    <mergeCell ref="C120:D120"/>
    <mergeCell ref="G120:H120"/>
    <mergeCell ref="C117:D117"/>
    <mergeCell ref="G117:H117"/>
    <mergeCell ref="I117:J117"/>
    <mergeCell ref="C118:D118"/>
    <mergeCell ref="G118:H118"/>
    <mergeCell ref="I118:J118"/>
    <mergeCell ref="I120:J120"/>
    <mergeCell ref="C121:D121"/>
    <mergeCell ref="G121:H121"/>
    <mergeCell ref="I121:J121"/>
    <mergeCell ref="C122:D122"/>
    <mergeCell ref="G122:H122"/>
    <mergeCell ref="I122:J122"/>
    <mergeCell ref="C125:D125"/>
    <mergeCell ref="A141:J141"/>
    <mergeCell ref="A140:H140"/>
    <mergeCell ref="A142:B142"/>
    <mergeCell ref="C131:D131"/>
    <mergeCell ref="G131:H131"/>
    <mergeCell ref="I131:J131"/>
    <mergeCell ref="C132:D132"/>
    <mergeCell ref="G132:H132"/>
    <mergeCell ref="I132:J132"/>
    <mergeCell ref="C129:D129"/>
    <mergeCell ref="G129:H129"/>
    <mergeCell ref="I129:J129"/>
    <mergeCell ref="C130:D130"/>
    <mergeCell ref="G130:H130"/>
    <mergeCell ref="I130:J130"/>
    <mergeCell ref="A126:B132"/>
    <mergeCell ref="C126:D126"/>
    <mergeCell ref="E126:F132"/>
    <mergeCell ref="G126:H126"/>
    <mergeCell ref="I126:J126"/>
    <mergeCell ref="I68:J68"/>
    <mergeCell ref="G77:H77"/>
    <mergeCell ref="I77:J77"/>
    <mergeCell ref="G86:H86"/>
    <mergeCell ref="I86:J86"/>
    <mergeCell ref="A143:B143"/>
    <mergeCell ref="A144:B144"/>
    <mergeCell ref="A145:B145"/>
    <mergeCell ref="C127:D127"/>
    <mergeCell ref="G127:H127"/>
    <mergeCell ref="I127:J127"/>
    <mergeCell ref="C128:D128"/>
    <mergeCell ref="G128:H128"/>
    <mergeCell ref="G125:H125"/>
    <mergeCell ref="I125:J125"/>
    <mergeCell ref="C123:D123"/>
    <mergeCell ref="G123:H123"/>
    <mergeCell ref="I123:J123"/>
    <mergeCell ref="C124:D124"/>
    <mergeCell ref="G124:H124"/>
    <mergeCell ref="I124:J124"/>
    <mergeCell ref="A119:B125"/>
    <mergeCell ref="C119:D119"/>
    <mergeCell ref="I128:J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4" t="s">
        <v>2</v>
      </c>
      <c r="J5" s="54"/>
    </row>
    <row r="6" spans="1:13" ht="15" customHeight="1" x14ac:dyDescent="0.2">
      <c r="A6" s="55" t="s">
        <v>57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3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5" t="s">
        <v>58</v>
      </c>
      <c r="B9" s="65"/>
      <c r="C9" s="65"/>
      <c r="D9" s="65"/>
      <c r="E9" s="65"/>
      <c r="F9" s="65"/>
      <c r="G9" s="65"/>
      <c r="H9" s="65"/>
      <c r="I9" s="73" t="s">
        <v>61</v>
      </c>
      <c r="J9" s="73"/>
    </row>
    <row r="10" spans="1:13" ht="15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ht="15" customHeight="1" x14ac:dyDescent="0.25">
      <c r="A11" s="68" t="s">
        <v>42</v>
      </c>
      <c r="B11" s="68"/>
      <c r="C11" s="68" t="s">
        <v>43</v>
      </c>
      <c r="D11" s="68"/>
      <c r="E11" s="68" t="s">
        <v>44</v>
      </c>
      <c r="F11" s="68"/>
      <c r="G11" s="68" t="s">
        <v>186</v>
      </c>
      <c r="H11" s="68"/>
      <c r="I11" s="68" t="s">
        <v>41</v>
      </c>
      <c r="J11" s="68"/>
    </row>
    <row r="12" spans="1:13" ht="15" customHeight="1" x14ac:dyDescent="0.2">
      <c r="A12" s="77" t="s">
        <v>60</v>
      </c>
      <c r="B12" s="78"/>
      <c r="C12" s="76">
        <v>200</v>
      </c>
      <c r="D12" s="76"/>
      <c r="E12" s="85">
        <v>1000</v>
      </c>
      <c r="F12" s="78"/>
      <c r="G12" s="63">
        <f>MROUND(645*$I$8,5)</f>
        <v>665</v>
      </c>
      <c r="H12" s="63"/>
      <c r="I12" s="64">
        <f>ROUND(G12*$J$8,0)</f>
        <v>665</v>
      </c>
      <c r="J12" s="64"/>
      <c r="L12" s="22"/>
      <c r="M12" s="22"/>
    </row>
    <row r="13" spans="1:13" ht="15" customHeight="1" x14ac:dyDescent="0.2">
      <c r="A13" s="79"/>
      <c r="B13" s="80"/>
      <c r="C13" s="76">
        <v>250</v>
      </c>
      <c r="D13" s="76"/>
      <c r="E13" s="79"/>
      <c r="F13" s="80"/>
      <c r="G13" s="63">
        <f>MROUND(700*$I$8,5)</f>
        <v>720</v>
      </c>
      <c r="H13" s="63"/>
      <c r="I13" s="64">
        <f t="shared" ref="I13:I38" si="0">ROUND(G13*$J$8,0)</f>
        <v>720</v>
      </c>
      <c r="J13" s="64"/>
      <c r="L13" s="22"/>
      <c r="M13" s="22"/>
    </row>
    <row r="14" spans="1:13" ht="15" customHeight="1" x14ac:dyDescent="0.2">
      <c r="A14" s="79"/>
      <c r="B14" s="80"/>
      <c r="C14" s="76">
        <v>315</v>
      </c>
      <c r="D14" s="76"/>
      <c r="E14" s="79"/>
      <c r="F14" s="80"/>
      <c r="G14" s="63">
        <f>MROUND(800*$I$8,5)</f>
        <v>825</v>
      </c>
      <c r="H14" s="63"/>
      <c r="I14" s="64">
        <f t="shared" si="0"/>
        <v>825</v>
      </c>
      <c r="J14" s="64"/>
      <c r="L14" s="22"/>
      <c r="M14" s="22"/>
    </row>
    <row r="15" spans="1:13" ht="15" customHeight="1" x14ac:dyDescent="0.2">
      <c r="A15" s="79"/>
      <c r="B15" s="80"/>
      <c r="C15" s="76">
        <v>400</v>
      </c>
      <c r="D15" s="76"/>
      <c r="E15" s="79"/>
      <c r="F15" s="80"/>
      <c r="G15" s="63">
        <f>MROUND(910*$I$8,5)</f>
        <v>935</v>
      </c>
      <c r="H15" s="63"/>
      <c r="I15" s="64">
        <f t="shared" si="0"/>
        <v>935</v>
      </c>
      <c r="J15" s="64"/>
      <c r="L15" s="22"/>
      <c r="M15" s="22"/>
    </row>
    <row r="16" spans="1:13" ht="15" customHeight="1" x14ac:dyDescent="0.2">
      <c r="A16" s="79"/>
      <c r="B16" s="80"/>
      <c r="C16" s="76">
        <v>500</v>
      </c>
      <c r="D16" s="76"/>
      <c r="E16" s="79"/>
      <c r="F16" s="80"/>
      <c r="G16" s="63">
        <f>MROUND(1040*$I$8,5)</f>
        <v>1070</v>
      </c>
      <c r="H16" s="63"/>
      <c r="I16" s="64">
        <f t="shared" si="0"/>
        <v>1070</v>
      </c>
      <c r="J16" s="64"/>
      <c r="L16" s="22"/>
      <c r="M16" s="22"/>
    </row>
    <row r="17" spans="1:13" ht="15" customHeight="1" x14ac:dyDescent="0.2">
      <c r="A17" s="79"/>
      <c r="B17" s="80"/>
      <c r="C17" s="76">
        <v>630</v>
      </c>
      <c r="D17" s="76"/>
      <c r="E17" s="79"/>
      <c r="F17" s="80"/>
      <c r="G17" s="63">
        <f>MROUND(1260*$I$8,5)</f>
        <v>1300</v>
      </c>
      <c r="H17" s="63"/>
      <c r="I17" s="64">
        <f t="shared" si="0"/>
        <v>1300</v>
      </c>
      <c r="J17" s="64"/>
      <c r="L17" s="22"/>
      <c r="M17" s="22"/>
    </row>
    <row r="18" spans="1:13" ht="15" customHeight="1" x14ac:dyDescent="0.2">
      <c r="A18" s="79"/>
      <c r="B18" s="80"/>
      <c r="C18" s="76">
        <v>710</v>
      </c>
      <c r="D18" s="76"/>
      <c r="E18" s="79"/>
      <c r="F18" s="80"/>
      <c r="G18" s="63">
        <f>MROUND(1410*$I$8,5)</f>
        <v>1450</v>
      </c>
      <c r="H18" s="63"/>
      <c r="I18" s="64">
        <f t="shared" ref="I18" si="1">ROUND(G18*$J$8,0)</f>
        <v>1450</v>
      </c>
      <c r="J18" s="64"/>
      <c r="L18" s="22"/>
      <c r="M18" s="22"/>
    </row>
    <row r="19" spans="1:13" ht="15" customHeight="1" x14ac:dyDescent="0.2">
      <c r="A19" s="79"/>
      <c r="B19" s="80"/>
      <c r="C19" s="76">
        <v>800</v>
      </c>
      <c r="D19" s="76"/>
      <c r="E19" s="79"/>
      <c r="F19" s="80"/>
      <c r="G19" s="63">
        <f>MROUND(1525*$I$8,5)</f>
        <v>1570</v>
      </c>
      <c r="H19" s="63"/>
      <c r="I19" s="64">
        <f t="shared" si="0"/>
        <v>1570</v>
      </c>
      <c r="J19" s="64"/>
      <c r="L19" s="22"/>
      <c r="M19" s="22"/>
    </row>
    <row r="20" spans="1:13" ht="15" customHeight="1" x14ac:dyDescent="0.2">
      <c r="A20" s="86"/>
      <c r="B20" s="87"/>
      <c r="C20" s="76">
        <v>1000</v>
      </c>
      <c r="D20" s="76"/>
      <c r="E20" s="86"/>
      <c r="F20" s="87"/>
      <c r="G20" s="63">
        <f>MROUND(1790*$I$8,5)</f>
        <v>1845</v>
      </c>
      <c r="H20" s="63"/>
      <c r="I20" s="64">
        <f t="shared" si="0"/>
        <v>1845</v>
      </c>
      <c r="J20" s="64"/>
      <c r="L20" s="22"/>
      <c r="M20" s="22"/>
    </row>
    <row r="21" spans="1:13" ht="15" customHeight="1" x14ac:dyDescent="0.2">
      <c r="A21" s="77" t="s">
        <v>60</v>
      </c>
      <c r="B21" s="78"/>
      <c r="C21" s="76">
        <v>200</v>
      </c>
      <c r="D21" s="76"/>
      <c r="E21" s="85">
        <v>1500</v>
      </c>
      <c r="F21" s="78"/>
      <c r="G21" s="63">
        <f>MROUND(965*$I$8,5)</f>
        <v>995</v>
      </c>
      <c r="H21" s="63"/>
      <c r="I21" s="64">
        <f t="shared" si="0"/>
        <v>995</v>
      </c>
      <c r="J21" s="64"/>
      <c r="L21" s="22"/>
      <c r="M21" s="22"/>
    </row>
    <row r="22" spans="1:13" ht="15" customHeight="1" x14ac:dyDescent="0.2">
      <c r="A22" s="79"/>
      <c r="B22" s="80"/>
      <c r="C22" s="76">
        <v>250</v>
      </c>
      <c r="D22" s="76"/>
      <c r="E22" s="79"/>
      <c r="F22" s="80"/>
      <c r="G22" s="63">
        <f>MROUND(1050*$I$8,5)</f>
        <v>1080</v>
      </c>
      <c r="H22" s="63"/>
      <c r="I22" s="64">
        <f t="shared" si="0"/>
        <v>1080</v>
      </c>
      <c r="J22" s="64"/>
      <c r="L22" s="22"/>
      <c r="M22" s="22"/>
    </row>
    <row r="23" spans="1:13" ht="15" customHeight="1" x14ac:dyDescent="0.2">
      <c r="A23" s="79"/>
      <c r="B23" s="80"/>
      <c r="C23" s="76">
        <v>315</v>
      </c>
      <c r="D23" s="76"/>
      <c r="E23" s="79"/>
      <c r="F23" s="80"/>
      <c r="G23" s="63">
        <f>MROUND(1195*$I$8,5)</f>
        <v>1230</v>
      </c>
      <c r="H23" s="63"/>
      <c r="I23" s="64">
        <f t="shared" si="0"/>
        <v>1230</v>
      </c>
      <c r="J23" s="64"/>
      <c r="L23" s="22"/>
      <c r="M23" s="22"/>
    </row>
    <row r="24" spans="1:13" ht="15" customHeight="1" x14ac:dyDescent="0.2">
      <c r="A24" s="79"/>
      <c r="B24" s="80"/>
      <c r="C24" s="76">
        <v>400</v>
      </c>
      <c r="D24" s="76"/>
      <c r="E24" s="79"/>
      <c r="F24" s="80"/>
      <c r="G24" s="63">
        <f>MROUND(1365*$I$8,5)</f>
        <v>1405</v>
      </c>
      <c r="H24" s="63"/>
      <c r="I24" s="64">
        <f t="shared" si="0"/>
        <v>1405</v>
      </c>
      <c r="J24" s="64"/>
      <c r="L24" s="22"/>
      <c r="M24" s="22"/>
    </row>
    <row r="25" spans="1:13" ht="15" customHeight="1" x14ac:dyDescent="0.2">
      <c r="A25" s="79"/>
      <c r="B25" s="80"/>
      <c r="C25" s="76">
        <v>500</v>
      </c>
      <c r="D25" s="76"/>
      <c r="E25" s="79"/>
      <c r="F25" s="80"/>
      <c r="G25" s="63">
        <f>MROUND(1555*$I$8,5)</f>
        <v>1600</v>
      </c>
      <c r="H25" s="63"/>
      <c r="I25" s="64">
        <f t="shared" si="0"/>
        <v>1600</v>
      </c>
      <c r="J25" s="64"/>
      <c r="L25" s="22"/>
      <c r="M25" s="22"/>
    </row>
    <row r="26" spans="1:13" ht="15" customHeight="1" x14ac:dyDescent="0.2">
      <c r="A26" s="79"/>
      <c r="B26" s="80"/>
      <c r="C26" s="76">
        <v>630</v>
      </c>
      <c r="D26" s="76"/>
      <c r="E26" s="79"/>
      <c r="F26" s="80"/>
      <c r="G26" s="63">
        <f>MROUND(1890*$I$8,5)</f>
        <v>1945</v>
      </c>
      <c r="H26" s="63"/>
      <c r="I26" s="64">
        <f t="shared" si="0"/>
        <v>1945</v>
      </c>
      <c r="J26" s="64"/>
      <c r="L26" s="22"/>
      <c r="M26" s="22"/>
    </row>
    <row r="27" spans="1:13" ht="15" customHeight="1" x14ac:dyDescent="0.2">
      <c r="A27" s="79"/>
      <c r="B27" s="80"/>
      <c r="C27" s="76">
        <v>710</v>
      </c>
      <c r="D27" s="76"/>
      <c r="E27" s="79"/>
      <c r="F27" s="80"/>
      <c r="G27" s="63">
        <f>MROUND(2120*$I$8,5)</f>
        <v>2185</v>
      </c>
      <c r="H27" s="63"/>
      <c r="I27" s="64">
        <f t="shared" ref="I27" si="2">ROUND(G27*$J$8,0)</f>
        <v>2185</v>
      </c>
      <c r="J27" s="64"/>
      <c r="L27" s="22"/>
      <c r="M27" s="22"/>
    </row>
    <row r="28" spans="1:13" ht="15" customHeight="1" x14ac:dyDescent="0.2">
      <c r="A28" s="79"/>
      <c r="B28" s="80"/>
      <c r="C28" s="76">
        <v>800</v>
      </c>
      <c r="D28" s="76"/>
      <c r="E28" s="79"/>
      <c r="F28" s="80"/>
      <c r="G28" s="63">
        <f>MROUND(2290*$I$8,5)</f>
        <v>2360</v>
      </c>
      <c r="H28" s="63"/>
      <c r="I28" s="64">
        <f t="shared" si="0"/>
        <v>2360</v>
      </c>
      <c r="J28" s="64"/>
      <c r="L28" s="22"/>
      <c r="M28" s="22"/>
    </row>
    <row r="29" spans="1:13" ht="15" customHeight="1" x14ac:dyDescent="0.2">
      <c r="A29" s="86"/>
      <c r="B29" s="87"/>
      <c r="C29" s="76">
        <v>1000</v>
      </c>
      <c r="D29" s="76"/>
      <c r="E29" s="86"/>
      <c r="F29" s="87"/>
      <c r="G29" s="63">
        <f>MROUND(2680*$I$8,5)</f>
        <v>2760</v>
      </c>
      <c r="H29" s="63"/>
      <c r="I29" s="64">
        <f t="shared" si="0"/>
        <v>2760</v>
      </c>
      <c r="J29" s="64"/>
      <c r="L29" s="22"/>
      <c r="M29" s="22"/>
    </row>
    <row r="30" spans="1:13" ht="15" customHeight="1" x14ac:dyDescent="0.2">
      <c r="A30" s="77" t="s">
        <v>60</v>
      </c>
      <c r="B30" s="78"/>
      <c r="C30" s="76">
        <v>200</v>
      </c>
      <c r="D30" s="76"/>
      <c r="E30" s="85">
        <v>2000</v>
      </c>
      <c r="F30" s="78"/>
      <c r="G30" s="63">
        <f>MROUND(1285*$I$8,5)</f>
        <v>1325</v>
      </c>
      <c r="H30" s="63"/>
      <c r="I30" s="64">
        <f t="shared" si="0"/>
        <v>1325</v>
      </c>
      <c r="J30" s="64"/>
      <c r="L30" s="22"/>
      <c r="M30" s="22"/>
    </row>
    <row r="31" spans="1:13" ht="15" customHeight="1" x14ac:dyDescent="0.2">
      <c r="A31" s="79"/>
      <c r="B31" s="80"/>
      <c r="C31" s="76">
        <v>250</v>
      </c>
      <c r="D31" s="76"/>
      <c r="E31" s="79"/>
      <c r="F31" s="80"/>
      <c r="G31" s="63">
        <f>MROUND(1395*$I$8,5)</f>
        <v>1435</v>
      </c>
      <c r="H31" s="63"/>
      <c r="I31" s="64">
        <f t="shared" si="0"/>
        <v>1435</v>
      </c>
      <c r="J31" s="64"/>
      <c r="L31" s="22"/>
      <c r="M31" s="22"/>
    </row>
    <row r="32" spans="1:13" ht="15" customHeight="1" x14ac:dyDescent="0.2">
      <c r="A32" s="79"/>
      <c r="B32" s="80"/>
      <c r="C32" s="76">
        <v>315</v>
      </c>
      <c r="D32" s="76"/>
      <c r="E32" s="79"/>
      <c r="F32" s="80"/>
      <c r="G32" s="63">
        <f>MROUND(1595*$I$8,5)</f>
        <v>1645</v>
      </c>
      <c r="H32" s="63"/>
      <c r="I32" s="64">
        <f t="shared" si="0"/>
        <v>1645</v>
      </c>
      <c r="J32" s="64"/>
      <c r="L32" s="22"/>
      <c r="M32" s="22"/>
    </row>
    <row r="33" spans="1:13" ht="15" customHeight="1" x14ac:dyDescent="0.2">
      <c r="A33" s="79"/>
      <c r="B33" s="80"/>
      <c r="C33" s="76">
        <v>400</v>
      </c>
      <c r="D33" s="76"/>
      <c r="E33" s="79"/>
      <c r="F33" s="80"/>
      <c r="G33" s="63">
        <f>MROUND(1815*$I$8,5)</f>
        <v>1870</v>
      </c>
      <c r="H33" s="63"/>
      <c r="I33" s="64">
        <f t="shared" si="0"/>
        <v>1870</v>
      </c>
      <c r="J33" s="64"/>
      <c r="L33" s="22"/>
      <c r="M33" s="22"/>
    </row>
    <row r="34" spans="1:13" ht="15" customHeight="1" x14ac:dyDescent="0.2">
      <c r="A34" s="79"/>
      <c r="B34" s="80"/>
      <c r="C34" s="76">
        <v>500</v>
      </c>
      <c r="D34" s="76"/>
      <c r="E34" s="79"/>
      <c r="F34" s="80"/>
      <c r="G34" s="63">
        <f>MROUND(2080*$I$8,5)</f>
        <v>2140</v>
      </c>
      <c r="H34" s="63"/>
      <c r="I34" s="64">
        <f t="shared" si="0"/>
        <v>2140</v>
      </c>
      <c r="J34" s="64"/>
      <c r="L34" s="22"/>
      <c r="M34" s="22"/>
    </row>
    <row r="35" spans="1:13" ht="15" customHeight="1" x14ac:dyDescent="0.2">
      <c r="A35" s="79"/>
      <c r="B35" s="80"/>
      <c r="C35" s="76">
        <v>630</v>
      </c>
      <c r="D35" s="76"/>
      <c r="E35" s="79"/>
      <c r="F35" s="80"/>
      <c r="G35" s="63">
        <f>MROUND(2520*$I$8,5)</f>
        <v>2595</v>
      </c>
      <c r="H35" s="63"/>
      <c r="I35" s="64">
        <f t="shared" si="0"/>
        <v>2595</v>
      </c>
      <c r="J35" s="64"/>
      <c r="L35" s="22"/>
      <c r="M35" s="22"/>
    </row>
    <row r="36" spans="1:13" ht="15" customHeight="1" x14ac:dyDescent="0.2">
      <c r="A36" s="79"/>
      <c r="B36" s="80"/>
      <c r="C36" s="76">
        <v>710</v>
      </c>
      <c r="D36" s="76"/>
      <c r="E36" s="79"/>
      <c r="F36" s="80"/>
      <c r="G36" s="63">
        <f>MROUND(2790*$I$8,5)</f>
        <v>2875</v>
      </c>
      <c r="H36" s="63"/>
      <c r="I36" s="64">
        <f t="shared" ref="I36" si="3">ROUND(G36*$J$8,0)</f>
        <v>2875</v>
      </c>
      <c r="J36" s="64"/>
      <c r="L36" s="22"/>
      <c r="M36" s="22"/>
    </row>
    <row r="37" spans="1:13" ht="15" customHeight="1" x14ac:dyDescent="0.2">
      <c r="A37" s="79"/>
      <c r="B37" s="80"/>
      <c r="C37" s="76">
        <v>800</v>
      </c>
      <c r="D37" s="76"/>
      <c r="E37" s="79"/>
      <c r="F37" s="80"/>
      <c r="G37" s="63">
        <f>MROUND(3045*$I$8,5)</f>
        <v>3135</v>
      </c>
      <c r="H37" s="63"/>
      <c r="I37" s="64">
        <f t="shared" si="0"/>
        <v>3135</v>
      </c>
      <c r="J37" s="64"/>
      <c r="L37" s="22"/>
      <c r="M37" s="22"/>
    </row>
    <row r="38" spans="1:13" ht="15" customHeight="1" x14ac:dyDescent="0.2">
      <c r="A38" s="86"/>
      <c r="B38" s="87"/>
      <c r="C38" s="76">
        <v>1000</v>
      </c>
      <c r="D38" s="76"/>
      <c r="E38" s="86"/>
      <c r="F38" s="87"/>
      <c r="G38" s="63">
        <f>MROUND(3575*$I$8,5)</f>
        <v>3680</v>
      </c>
      <c r="H38" s="63"/>
      <c r="I38" s="64">
        <f t="shared" si="0"/>
        <v>3680</v>
      </c>
      <c r="J38" s="64"/>
      <c r="L38" s="22"/>
      <c r="M38" s="2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5" t="s">
        <v>59</v>
      </c>
      <c r="B40" s="65"/>
      <c r="C40" s="65"/>
      <c r="D40" s="65"/>
      <c r="E40" s="65"/>
      <c r="F40" s="65"/>
      <c r="G40" s="65"/>
      <c r="H40" s="65"/>
      <c r="I40" s="8">
        <v>25</v>
      </c>
      <c r="J40" s="8">
        <v>100</v>
      </c>
    </row>
    <row r="41" spans="1:13" ht="15" customHeight="1" x14ac:dyDescent="0.2">
      <c r="A41" s="61" t="s">
        <v>53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3" ht="15" customHeight="1" x14ac:dyDescent="0.2">
      <c r="A42" s="83" t="s">
        <v>45</v>
      </c>
      <c r="B42" s="84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74" t="s">
        <v>181</v>
      </c>
      <c r="B43" s="75"/>
      <c r="C43" s="10">
        <f>MROUND(190*$I$8*$J$8,5)</f>
        <v>195</v>
      </c>
      <c r="D43" s="25">
        <f t="shared" ref="D43:E44" si="4">MROUND(190*$I$8*$J$8,5)</f>
        <v>195</v>
      </c>
      <c r="E43" s="25">
        <f>MROUND(200*$I$8*$J$8,5)</f>
        <v>205</v>
      </c>
      <c r="F43" s="25">
        <f>MROUND(210*$I$8*$J$8,5)</f>
        <v>215</v>
      </c>
      <c r="G43" s="25">
        <f>MROUND(215*$I$8*$J$8,5)</f>
        <v>220</v>
      </c>
      <c r="H43" s="25">
        <f>MROUND(230*$I$8*$J$8,5)</f>
        <v>235</v>
      </c>
      <c r="I43" s="25">
        <f>MROUND(245*$I$8*$J$8,5)</f>
        <v>250</v>
      </c>
      <c r="J43" s="25">
        <f>MROUND(270*$I$8*$J$8,5)</f>
        <v>280</v>
      </c>
    </row>
    <row r="44" spans="1:13" ht="15" customHeight="1" x14ac:dyDescent="0.2">
      <c r="A44" s="74" t="s">
        <v>182</v>
      </c>
      <c r="B44" s="75"/>
      <c r="C44" s="25">
        <f>MROUND(185*$I$8*$J$8,5)</f>
        <v>190</v>
      </c>
      <c r="D44" s="25">
        <f>MROUND(185*$I$8*$J$8,5)</f>
        <v>190</v>
      </c>
      <c r="E44" s="25">
        <f t="shared" si="4"/>
        <v>195</v>
      </c>
      <c r="F44" s="25">
        <f>MROUND(200*$I$8*$J$8,5)</f>
        <v>205</v>
      </c>
      <c r="G44" s="25">
        <f>MROUND(210*$I$8*$J$8,5)</f>
        <v>215</v>
      </c>
      <c r="H44" s="25">
        <f>MROUND(215*$I$8*$J$8,5)</f>
        <v>220</v>
      </c>
      <c r="I44" s="25">
        <f>MROUND(230*$I$8*$J$8,5)</f>
        <v>235</v>
      </c>
      <c r="J44" s="25">
        <f>MROUND(240*$I$8*$J$8,5)</f>
        <v>245</v>
      </c>
    </row>
    <row r="45" spans="1:13" ht="15" customHeight="1" x14ac:dyDescent="0.2">
      <c r="A45" s="74" t="s">
        <v>183</v>
      </c>
      <c r="B45" s="75"/>
      <c r="C45" s="10">
        <f>C43+C44</f>
        <v>385</v>
      </c>
      <c r="D45" s="25">
        <f t="shared" ref="D45:J45" si="5">D43+D44</f>
        <v>385</v>
      </c>
      <c r="E45" s="25">
        <f t="shared" si="5"/>
        <v>400</v>
      </c>
      <c r="F45" s="25">
        <f t="shared" si="5"/>
        <v>420</v>
      </c>
      <c r="G45" s="25">
        <f t="shared" si="5"/>
        <v>435</v>
      </c>
      <c r="H45" s="25">
        <f t="shared" si="5"/>
        <v>455</v>
      </c>
      <c r="I45" s="25">
        <f t="shared" si="5"/>
        <v>485</v>
      </c>
      <c r="J45" s="25">
        <f t="shared" si="5"/>
        <v>525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3" ht="15" customHeight="1" x14ac:dyDescent="0.2">
      <c r="A47" s="3" t="s">
        <v>168</v>
      </c>
      <c r="B47" s="3"/>
      <c r="C47" s="3"/>
      <c r="D47" s="3"/>
      <c r="E47" s="3"/>
      <c r="F47" s="3"/>
      <c r="G47" s="3"/>
      <c r="H47" s="3"/>
      <c r="I47" s="3"/>
      <c r="J47" s="3"/>
    </row>
    <row r="48" spans="1:13" ht="15" customHeight="1" x14ac:dyDescent="0.2">
      <c r="A48" s="3" t="s">
        <v>169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4" t="s">
        <v>2</v>
      </c>
      <c r="J55" s="54"/>
    </row>
    <row r="56" spans="1:13" ht="15" customHeight="1" x14ac:dyDescent="0.2">
      <c r="A56" s="55" t="s">
        <v>57</v>
      </c>
      <c r="B56" s="55"/>
      <c r="C56" s="55"/>
      <c r="D56" s="55"/>
      <c r="E56" s="55"/>
      <c r="F56" s="55"/>
      <c r="G56" s="55"/>
      <c r="H56" s="56"/>
      <c r="I56" s="69">
        <f>I6</f>
        <v>0</v>
      </c>
      <c r="J56" s="70"/>
    </row>
    <row r="57" spans="1:13" ht="15" customHeight="1" thickBot="1" x14ac:dyDescent="0.25">
      <c r="A57" s="55"/>
      <c r="B57" s="55"/>
      <c r="C57" s="55"/>
      <c r="D57" s="55"/>
      <c r="E57" s="55"/>
      <c r="F57" s="55"/>
      <c r="G57" s="55"/>
      <c r="H57" s="56"/>
      <c r="I57" s="71"/>
      <c r="J57" s="72"/>
    </row>
    <row r="58" spans="1:13" ht="15" customHeight="1" x14ac:dyDescent="0.2">
      <c r="J58" s="30">
        <f>1-I56</f>
        <v>1</v>
      </c>
    </row>
    <row r="59" spans="1:13" ht="15" customHeight="1" x14ac:dyDescent="0.25">
      <c r="A59" s="65" t="s">
        <v>58</v>
      </c>
      <c r="B59" s="65"/>
      <c r="C59" s="65"/>
      <c r="D59" s="65"/>
      <c r="E59" s="65"/>
      <c r="F59" s="65"/>
      <c r="G59" s="65"/>
      <c r="H59" s="65"/>
      <c r="I59" s="73" t="s">
        <v>61</v>
      </c>
      <c r="J59" s="73"/>
    </row>
    <row r="60" spans="1:13" ht="15" customHeight="1" x14ac:dyDescent="0.2">
      <c r="A60" s="61" t="s">
        <v>48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3" ht="15" customHeight="1" x14ac:dyDescent="0.25">
      <c r="A61" s="68" t="s">
        <v>42</v>
      </c>
      <c r="B61" s="68"/>
      <c r="C61" s="68" t="s">
        <v>43</v>
      </c>
      <c r="D61" s="68"/>
      <c r="E61" s="68" t="s">
        <v>44</v>
      </c>
      <c r="F61" s="68"/>
      <c r="G61" s="68" t="s">
        <v>186</v>
      </c>
      <c r="H61" s="68"/>
      <c r="I61" s="68" t="s">
        <v>41</v>
      </c>
      <c r="J61" s="68"/>
    </row>
    <row r="62" spans="1:13" ht="15" customHeight="1" x14ac:dyDescent="0.2">
      <c r="A62" s="77" t="s">
        <v>64</v>
      </c>
      <c r="B62" s="78"/>
      <c r="C62" s="76">
        <v>200</v>
      </c>
      <c r="D62" s="76"/>
      <c r="E62" s="85">
        <v>1000</v>
      </c>
      <c r="F62" s="78"/>
      <c r="G62" s="63">
        <f>MROUND(855*$I$8,5)</f>
        <v>880</v>
      </c>
      <c r="H62" s="63"/>
      <c r="I62" s="64">
        <f>ROUND(G62*$J$58,0)</f>
        <v>880</v>
      </c>
      <c r="J62" s="64"/>
      <c r="L62" s="22"/>
      <c r="M62" s="22"/>
    </row>
    <row r="63" spans="1:13" ht="15" customHeight="1" x14ac:dyDescent="0.2">
      <c r="A63" s="79"/>
      <c r="B63" s="80"/>
      <c r="C63" s="76">
        <v>250</v>
      </c>
      <c r="D63" s="76"/>
      <c r="E63" s="79"/>
      <c r="F63" s="80"/>
      <c r="G63" s="63">
        <f>MROUND(925*$I$8,5)</f>
        <v>955</v>
      </c>
      <c r="H63" s="63"/>
      <c r="I63" s="64">
        <f t="shared" ref="I63:I88" si="6">ROUND(G63*$J$58,0)</f>
        <v>955</v>
      </c>
      <c r="J63" s="64"/>
      <c r="L63" s="22"/>
      <c r="M63" s="22"/>
    </row>
    <row r="64" spans="1:13" ht="15" customHeight="1" x14ac:dyDescent="0.2">
      <c r="A64" s="79"/>
      <c r="B64" s="80"/>
      <c r="C64" s="76">
        <v>315</v>
      </c>
      <c r="D64" s="76"/>
      <c r="E64" s="79"/>
      <c r="F64" s="80"/>
      <c r="G64" s="63">
        <f>MROUND(1025*$I$8,5)</f>
        <v>1055</v>
      </c>
      <c r="H64" s="63"/>
      <c r="I64" s="64">
        <f t="shared" si="6"/>
        <v>1055</v>
      </c>
      <c r="J64" s="64"/>
      <c r="L64" s="22"/>
      <c r="M64" s="22"/>
    </row>
    <row r="65" spans="1:13" ht="15" customHeight="1" x14ac:dyDescent="0.2">
      <c r="A65" s="79"/>
      <c r="B65" s="80"/>
      <c r="C65" s="76">
        <v>400</v>
      </c>
      <c r="D65" s="76"/>
      <c r="E65" s="79"/>
      <c r="F65" s="80"/>
      <c r="G65" s="63">
        <f>MROUND(1170*$I$8,5)</f>
        <v>1205</v>
      </c>
      <c r="H65" s="63"/>
      <c r="I65" s="64">
        <f t="shared" si="6"/>
        <v>1205</v>
      </c>
      <c r="J65" s="64"/>
      <c r="L65" s="22"/>
      <c r="M65" s="22"/>
    </row>
    <row r="66" spans="1:13" ht="15" customHeight="1" x14ac:dyDescent="0.2">
      <c r="A66" s="79"/>
      <c r="B66" s="80"/>
      <c r="C66" s="76">
        <v>500</v>
      </c>
      <c r="D66" s="76"/>
      <c r="E66" s="79"/>
      <c r="F66" s="80"/>
      <c r="G66" s="63">
        <f>MROUND(1320*$I$8,5)</f>
        <v>1360</v>
      </c>
      <c r="H66" s="63"/>
      <c r="I66" s="64">
        <f t="shared" si="6"/>
        <v>1360</v>
      </c>
      <c r="J66" s="64"/>
      <c r="L66" s="22"/>
      <c r="M66" s="22"/>
    </row>
    <row r="67" spans="1:13" ht="15" customHeight="1" x14ac:dyDescent="0.2">
      <c r="A67" s="79"/>
      <c r="B67" s="80"/>
      <c r="C67" s="76">
        <v>630</v>
      </c>
      <c r="D67" s="76"/>
      <c r="E67" s="79"/>
      <c r="F67" s="80"/>
      <c r="G67" s="63">
        <f>MROUND(1595*$I$8,5)</f>
        <v>1645</v>
      </c>
      <c r="H67" s="63"/>
      <c r="I67" s="64">
        <f t="shared" si="6"/>
        <v>1645</v>
      </c>
      <c r="J67" s="64"/>
      <c r="L67" s="22"/>
      <c r="M67" s="22"/>
    </row>
    <row r="68" spans="1:13" ht="15" customHeight="1" x14ac:dyDescent="0.2">
      <c r="A68" s="79"/>
      <c r="B68" s="80"/>
      <c r="C68" s="76">
        <v>710</v>
      </c>
      <c r="D68" s="76"/>
      <c r="E68" s="79"/>
      <c r="F68" s="80"/>
      <c r="G68" s="63">
        <f>MROUND(1755*$I$8,5)</f>
        <v>1810</v>
      </c>
      <c r="H68" s="63"/>
      <c r="I68" s="64">
        <f t="shared" ref="I68" si="7">ROUND(G68*$J$58,0)</f>
        <v>1810</v>
      </c>
      <c r="J68" s="64"/>
      <c r="L68" s="22"/>
      <c r="M68" s="22"/>
    </row>
    <row r="69" spans="1:13" ht="15" customHeight="1" x14ac:dyDescent="0.2">
      <c r="A69" s="79"/>
      <c r="B69" s="80"/>
      <c r="C69" s="76">
        <v>800</v>
      </c>
      <c r="D69" s="76"/>
      <c r="E69" s="79"/>
      <c r="F69" s="80"/>
      <c r="G69" s="63">
        <f>MROUND(1890*$I$8,5)</f>
        <v>1945</v>
      </c>
      <c r="H69" s="63"/>
      <c r="I69" s="64">
        <f t="shared" si="6"/>
        <v>1945</v>
      </c>
      <c r="J69" s="64"/>
      <c r="L69" s="22"/>
      <c r="M69" s="22"/>
    </row>
    <row r="70" spans="1:13" ht="15" customHeight="1" x14ac:dyDescent="0.2">
      <c r="A70" s="86"/>
      <c r="B70" s="87"/>
      <c r="C70" s="76">
        <v>1000</v>
      </c>
      <c r="D70" s="76"/>
      <c r="E70" s="86"/>
      <c r="F70" s="87"/>
      <c r="G70" s="63">
        <f>MROUND(2230*$I$8,5)</f>
        <v>2295</v>
      </c>
      <c r="H70" s="63"/>
      <c r="I70" s="64">
        <f t="shared" si="6"/>
        <v>2295</v>
      </c>
      <c r="J70" s="64"/>
      <c r="L70" s="22"/>
      <c r="M70" s="22"/>
    </row>
    <row r="71" spans="1:13" ht="15" customHeight="1" x14ac:dyDescent="0.2">
      <c r="A71" s="77" t="s">
        <v>64</v>
      </c>
      <c r="B71" s="78"/>
      <c r="C71" s="76">
        <v>200</v>
      </c>
      <c r="D71" s="76"/>
      <c r="E71" s="85">
        <v>1500</v>
      </c>
      <c r="F71" s="78"/>
      <c r="G71" s="63">
        <f>MROUND(1280*$I$8,5)</f>
        <v>1320</v>
      </c>
      <c r="H71" s="63"/>
      <c r="I71" s="64">
        <f t="shared" si="6"/>
        <v>1320</v>
      </c>
      <c r="J71" s="64"/>
      <c r="L71" s="22"/>
      <c r="M71" s="22"/>
    </row>
    <row r="72" spans="1:13" ht="15" customHeight="1" x14ac:dyDescent="0.2">
      <c r="A72" s="79"/>
      <c r="B72" s="80"/>
      <c r="C72" s="76">
        <v>250</v>
      </c>
      <c r="D72" s="76"/>
      <c r="E72" s="79"/>
      <c r="F72" s="80"/>
      <c r="G72" s="63">
        <f>MROUND(1385*$I$8,5)</f>
        <v>1425</v>
      </c>
      <c r="H72" s="63"/>
      <c r="I72" s="64">
        <f t="shared" si="6"/>
        <v>1425</v>
      </c>
      <c r="J72" s="64"/>
      <c r="L72" s="22"/>
      <c r="M72" s="22"/>
    </row>
    <row r="73" spans="1:13" ht="15" customHeight="1" x14ac:dyDescent="0.2">
      <c r="A73" s="79"/>
      <c r="B73" s="80"/>
      <c r="C73" s="76">
        <v>315</v>
      </c>
      <c r="D73" s="76"/>
      <c r="E73" s="79"/>
      <c r="F73" s="80"/>
      <c r="G73" s="63">
        <f>MROUND(1535*$I$8,5)</f>
        <v>1580</v>
      </c>
      <c r="H73" s="63"/>
      <c r="I73" s="64">
        <f t="shared" si="6"/>
        <v>1580</v>
      </c>
      <c r="J73" s="64"/>
      <c r="L73" s="22"/>
      <c r="M73" s="22"/>
    </row>
    <row r="74" spans="1:13" ht="15" customHeight="1" x14ac:dyDescent="0.2">
      <c r="A74" s="79"/>
      <c r="B74" s="80"/>
      <c r="C74" s="76">
        <v>400</v>
      </c>
      <c r="D74" s="76"/>
      <c r="E74" s="79"/>
      <c r="F74" s="80"/>
      <c r="G74" s="63">
        <f>MROUND(1760*$I$8,5)</f>
        <v>1815</v>
      </c>
      <c r="H74" s="63"/>
      <c r="I74" s="64">
        <f t="shared" si="6"/>
        <v>1815</v>
      </c>
      <c r="J74" s="64"/>
      <c r="L74" s="22"/>
      <c r="M74" s="22"/>
    </row>
    <row r="75" spans="1:13" ht="15" customHeight="1" x14ac:dyDescent="0.2">
      <c r="A75" s="79"/>
      <c r="B75" s="80"/>
      <c r="C75" s="76">
        <v>500</v>
      </c>
      <c r="D75" s="76"/>
      <c r="E75" s="79"/>
      <c r="F75" s="80"/>
      <c r="G75" s="63">
        <f>MROUND(1980*$I$8,5)</f>
        <v>2040</v>
      </c>
      <c r="H75" s="63"/>
      <c r="I75" s="64">
        <f t="shared" si="6"/>
        <v>2040</v>
      </c>
      <c r="J75" s="64"/>
      <c r="L75" s="22"/>
      <c r="M75" s="22"/>
    </row>
    <row r="76" spans="1:13" ht="15" customHeight="1" x14ac:dyDescent="0.2">
      <c r="A76" s="79"/>
      <c r="B76" s="80"/>
      <c r="C76" s="76">
        <v>630</v>
      </c>
      <c r="D76" s="76"/>
      <c r="E76" s="79"/>
      <c r="F76" s="80"/>
      <c r="G76" s="63">
        <f>MROUND(2395*$I$8,5)</f>
        <v>2465</v>
      </c>
      <c r="H76" s="63"/>
      <c r="I76" s="64">
        <f t="shared" si="6"/>
        <v>2465</v>
      </c>
      <c r="J76" s="64"/>
      <c r="L76" s="22"/>
      <c r="M76" s="22"/>
    </row>
    <row r="77" spans="1:13" ht="15" customHeight="1" x14ac:dyDescent="0.2">
      <c r="A77" s="79"/>
      <c r="B77" s="80"/>
      <c r="C77" s="76">
        <v>710</v>
      </c>
      <c r="D77" s="76"/>
      <c r="E77" s="79"/>
      <c r="F77" s="80"/>
      <c r="G77" s="63">
        <f>MROUND(2635*$I$8,5)</f>
        <v>2715</v>
      </c>
      <c r="H77" s="63"/>
      <c r="I77" s="64">
        <f t="shared" ref="I77" si="8">ROUND(G77*$J$58,0)</f>
        <v>2715</v>
      </c>
      <c r="J77" s="64"/>
      <c r="L77" s="22"/>
      <c r="M77" s="22"/>
    </row>
    <row r="78" spans="1:13" ht="15" customHeight="1" x14ac:dyDescent="0.2">
      <c r="A78" s="79"/>
      <c r="B78" s="80"/>
      <c r="C78" s="76">
        <v>800</v>
      </c>
      <c r="D78" s="76"/>
      <c r="E78" s="79"/>
      <c r="F78" s="80"/>
      <c r="G78" s="63">
        <f>MROUND(2840*$I$8,5)</f>
        <v>2925</v>
      </c>
      <c r="H78" s="63"/>
      <c r="I78" s="64">
        <f t="shared" si="6"/>
        <v>2925</v>
      </c>
      <c r="J78" s="64"/>
      <c r="L78" s="22"/>
      <c r="M78" s="22"/>
    </row>
    <row r="79" spans="1:13" ht="15" customHeight="1" x14ac:dyDescent="0.2">
      <c r="A79" s="86"/>
      <c r="B79" s="87"/>
      <c r="C79" s="76">
        <v>1000</v>
      </c>
      <c r="D79" s="76"/>
      <c r="E79" s="86"/>
      <c r="F79" s="87"/>
      <c r="G79" s="63">
        <f>MROUND(3340*$I$8,5)</f>
        <v>3440</v>
      </c>
      <c r="H79" s="63"/>
      <c r="I79" s="64">
        <f t="shared" si="6"/>
        <v>3440</v>
      </c>
      <c r="J79" s="64"/>
      <c r="L79" s="22"/>
      <c r="M79" s="22"/>
    </row>
    <row r="80" spans="1:13" ht="15" customHeight="1" x14ac:dyDescent="0.2">
      <c r="A80" s="77" t="s">
        <v>64</v>
      </c>
      <c r="B80" s="78"/>
      <c r="C80" s="76">
        <v>200</v>
      </c>
      <c r="D80" s="76"/>
      <c r="E80" s="85">
        <v>2000</v>
      </c>
      <c r="F80" s="78"/>
      <c r="G80" s="63">
        <f>MROUND(1705*$I$8,5)</f>
        <v>1755</v>
      </c>
      <c r="H80" s="63"/>
      <c r="I80" s="64">
        <f t="shared" si="6"/>
        <v>1755</v>
      </c>
      <c r="J80" s="64"/>
      <c r="L80" s="22"/>
      <c r="M80" s="22"/>
    </row>
    <row r="81" spans="1:19" ht="15" customHeight="1" x14ac:dyDescent="0.2">
      <c r="A81" s="79"/>
      <c r="B81" s="80"/>
      <c r="C81" s="76">
        <v>250</v>
      </c>
      <c r="D81" s="76"/>
      <c r="E81" s="79"/>
      <c r="F81" s="80"/>
      <c r="G81" s="63">
        <f>MROUND(1850*$I$8,5)</f>
        <v>1905</v>
      </c>
      <c r="H81" s="63"/>
      <c r="I81" s="64">
        <f t="shared" si="6"/>
        <v>1905</v>
      </c>
      <c r="J81" s="64"/>
      <c r="L81" s="22"/>
      <c r="M81" s="22"/>
    </row>
    <row r="82" spans="1:19" ht="15" customHeight="1" x14ac:dyDescent="0.2">
      <c r="A82" s="79"/>
      <c r="B82" s="80"/>
      <c r="C82" s="76">
        <v>315</v>
      </c>
      <c r="D82" s="76"/>
      <c r="E82" s="79"/>
      <c r="F82" s="80"/>
      <c r="G82" s="63">
        <f>MROUND(2045*$I$8,5)</f>
        <v>2105</v>
      </c>
      <c r="H82" s="63"/>
      <c r="I82" s="64">
        <f t="shared" si="6"/>
        <v>2105</v>
      </c>
      <c r="J82" s="64"/>
      <c r="L82" s="22"/>
      <c r="M82" s="22"/>
    </row>
    <row r="83" spans="1:19" ht="15" customHeight="1" x14ac:dyDescent="0.2">
      <c r="A83" s="79"/>
      <c r="B83" s="80"/>
      <c r="C83" s="76">
        <v>400</v>
      </c>
      <c r="D83" s="76"/>
      <c r="E83" s="79"/>
      <c r="F83" s="80"/>
      <c r="G83" s="63">
        <f>MROUND(2345*$I$8,5)</f>
        <v>2415</v>
      </c>
      <c r="H83" s="63"/>
      <c r="I83" s="64">
        <f t="shared" si="6"/>
        <v>2415</v>
      </c>
      <c r="J83" s="64"/>
      <c r="L83" s="22"/>
      <c r="M83" s="22"/>
    </row>
    <row r="84" spans="1:19" ht="15" customHeight="1" x14ac:dyDescent="0.2">
      <c r="A84" s="79"/>
      <c r="B84" s="80"/>
      <c r="C84" s="76">
        <v>500</v>
      </c>
      <c r="D84" s="76"/>
      <c r="E84" s="79"/>
      <c r="F84" s="80"/>
      <c r="G84" s="63">
        <f>MROUND(2640*$I$8,5)</f>
        <v>2720</v>
      </c>
      <c r="H84" s="63"/>
      <c r="I84" s="64">
        <f t="shared" si="6"/>
        <v>2720</v>
      </c>
      <c r="J84" s="64"/>
      <c r="L84" s="22"/>
      <c r="M84" s="22"/>
    </row>
    <row r="85" spans="1:19" ht="15" customHeight="1" x14ac:dyDescent="0.2">
      <c r="A85" s="79"/>
      <c r="B85" s="80"/>
      <c r="C85" s="76">
        <v>630</v>
      </c>
      <c r="D85" s="76"/>
      <c r="E85" s="79"/>
      <c r="F85" s="80"/>
      <c r="G85" s="63">
        <f>MROUND(3190*$I$8,5)</f>
        <v>3285</v>
      </c>
      <c r="H85" s="63"/>
      <c r="I85" s="64">
        <f t="shared" si="6"/>
        <v>3285</v>
      </c>
      <c r="J85" s="64"/>
      <c r="L85" s="22"/>
      <c r="M85" s="22"/>
    </row>
    <row r="86" spans="1:19" ht="15" customHeight="1" x14ac:dyDescent="0.2">
      <c r="A86" s="79"/>
      <c r="B86" s="80"/>
      <c r="C86" s="76">
        <v>710</v>
      </c>
      <c r="D86" s="76"/>
      <c r="E86" s="79"/>
      <c r="F86" s="80"/>
      <c r="G86" s="63">
        <f>MROUND(3515*$I$8,5)</f>
        <v>3620</v>
      </c>
      <c r="H86" s="63"/>
      <c r="I86" s="64">
        <f t="shared" ref="I86" si="9">ROUND(G86*$J$58,0)</f>
        <v>3620</v>
      </c>
      <c r="J86" s="64"/>
      <c r="L86" s="22"/>
      <c r="M86" s="22"/>
    </row>
    <row r="87" spans="1:19" ht="15" customHeight="1" x14ac:dyDescent="0.2">
      <c r="A87" s="79"/>
      <c r="B87" s="80"/>
      <c r="C87" s="76">
        <v>800</v>
      </c>
      <c r="D87" s="76"/>
      <c r="E87" s="79"/>
      <c r="F87" s="80"/>
      <c r="G87" s="63">
        <f>MROUND(3785*$I$8,5)</f>
        <v>3900</v>
      </c>
      <c r="H87" s="63"/>
      <c r="I87" s="64">
        <f t="shared" si="6"/>
        <v>3900</v>
      </c>
      <c r="J87" s="64"/>
      <c r="L87" s="22"/>
      <c r="M87" s="22"/>
    </row>
    <row r="88" spans="1:19" ht="15" customHeight="1" x14ac:dyDescent="0.2">
      <c r="A88" s="86"/>
      <c r="B88" s="87"/>
      <c r="C88" s="76">
        <v>1000</v>
      </c>
      <c r="D88" s="76"/>
      <c r="E88" s="86"/>
      <c r="F88" s="87"/>
      <c r="G88" s="63">
        <f>MROUND(4455*$I$8,5)</f>
        <v>4590</v>
      </c>
      <c r="H88" s="63"/>
      <c r="I88" s="64">
        <f t="shared" si="6"/>
        <v>4590</v>
      </c>
      <c r="J88" s="64"/>
      <c r="L88" s="22"/>
      <c r="M88" s="22"/>
    </row>
    <row r="89" spans="1:19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9" ht="15" customHeight="1" x14ac:dyDescent="0.25">
      <c r="A90" s="65" t="s">
        <v>63</v>
      </c>
      <c r="B90" s="65"/>
      <c r="C90" s="65"/>
      <c r="D90" s="65"/>
      <c r="E90" s="65"/>
      <c r="F90" s="65"/>
      <c r="G90" s="65"/>
      <c r="H90" s="65"/>
      <c r="I90" s="8">
        <v>25</v>
      </c>
      <c r="J90" s="8">
        <v>100</v>
      </c>
    </row>
    <row r="91" spans="1:19" ht="15" customHeight="1" x14ac:dyDescent="0.2">
      <c r="A91" s="61" t="s">
        <v>53</v>
      </c>
      <c r="B91" s="61"/>
      <c r="C91" s="61"/>
      <c r="D91" s="61"/>
      <c r="E91" s="61"/>
      <c r="F91" s="61"/>
      <c r="G91" s="61"/>
      <c r="H91" s="61"/>
      <c r="I91" s="61"/>
      <c r="J91" s="61"/>
    </row>
    <row r="92" spans="1:19" ht="15" customHeight="1" x14ac:dyDescent="0.2">
      <c r="A92" s="83" t="s">
        <v>45</v>
      </c>
      <c r="B92" s="84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9" ht="15" customHeight="1" x14ac:dyDescent="0.2">
      <c r="A93" s="74" t="s">
        <v>181</v>
      </c>
      <c r="B93" s="75"/>
      <c r="C93" s="26">
        <f>MROUND(210*$I$8*$J$58,5)</f>
        <v>215</v>
      </c>
      <c r="D93" s="26">
        <f>MROUND(215*$I$8*$J$58,5)</f>
        <v>220</v>
      </c>
      <c r="E93" s="26">
        <f>MROUND(225*$I$8*$J$58,5)</f>
        <v>230</v>
      </c>
      <c r="F93" s="26">
        <f>MROUND(240*$I$8*$J$58,5)</f>
        <v>245</v>
      </c>
      <c r="G93" s="26">
        <f>MROUND(260*$I$8*$J$58,5)</f>
        <v>270</v>
      </c>
      <c r="H93" s="26">
        <f>MROUND(285*$I$8*$J$58,5)</f>
        <v>295</v>
      </c>
      <c r="I93" s="26">
        <f>MROUND(315*$I$8*$J$58,5)</f>
        <v>325</v>
      </c>
      <c r="J93" s="26">
        <f>MROUND(345*$I$8*$J$58,5)</f>
        <v>355</v>
      </c>
      <c r="L93" s="29"/>
      <c r="M93" s="29"/>
      <c r="N93" s="29"/>
      <c r="O93" s="29"/>
      <c r="P93" s="29"/>
      <c r="Q93" s="29"/>
      <c r="R93" s="29"/>
      <c r="S93" s="29"/>
    </row>
    <row r="94" spans="1:19" ht="15" customHeight="1" x14ac:dyDescent="0.2">
      <c r="A94" s="74" t="s">
        <v>182</v>
      </c>
      <c r="B94" s="75"/>
      <c r="C94" s="26">
        <f>MROUND(190*$I$8*$J$58,5)</f>
        <v>195</v>
      </c>
      <c r="D94" s="26">
        <f>MROUND(200*$I$8*$J$58,5)</f>
        <v>205</v>
      </c>
      <c r="E94" s="26">
        <f>MROUND(210*$I$8*$J$58,5)</f>
        <v>215</v>
      </c>
      <c r="F94" s="26">
        <f>MROUND(225*$I$8*$J$58,5)</f>
        <v>230</v>
      </c>
      <c r="G94" s="26">
        <f>MROUND(240*$I$8*$J$58,5)</f>
        <v>245</v>
      </c>
      <c r="H94" s="26">
        <f>MROUND(255*$I$8*$J$58,5)</f>
        <v>265</v>
      </c>
      <c r="I94" s="26">
        <f>MROUND(280*$I$8*$J$58,5)</f>
        <v>290</v>
      </c>
      <c r="J94" s="26">
        <f>MROUND(300*$I$8*$J$58,5)</f>
        <v>310</v>
      </c>
      <c r="L94" s="29"/>
      <c r="M94" s="29"/>
      <c r="N94" s="29"/>
      <c r="O94" s="29"/>
      <c r="P94" s="29"/>
      <c r="Q94" s="29"/>
      <c r="R94" s="29"/>
      <c r="S94" s="29"/>
    </row>
    <row r="95" spans="1:19" ht="15" customHeight="1" x14ac:dyDescent="0.2">
      <c r="A95" s="74" t="s">
        <v>183</v>
      </c>
      <c r="B95" s="75"/>
      <c r="C95" s="10">
        <f>C93+C94</f>
        <v>410</v>
      </c>
      <c r="D95" s="26">
        <f t="shared" ref="D95:J95" si="10">D93+D94</f>
        <v>425</v>
      </c>
      <c r="E95" s="26">
        <f t="shared" si="10"/>
        <v>445</v>
      </c>
      <c r="F95" s="26">
        <f t="shared" si="10"/>
        <v>475</v>
      </c>
      <c r="G95" s="26">
        <f t="shared" si="10"/>
        <v>515</v>
      </c>
      <c r="H95" s="26">
        <f t="shared" si="10"/>
        <v>560</v>
      </c>
      <c r="I95" s="26">
        <f t="shared" si="10"/>
        <v>615</v>
      </c>
      <c r="J95" s="26">
        <f t="shared" si="10"/>
        <v>665</v>
      </c>
    </row>
    <row r="96" spans="1:19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168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169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4" t="s">
        <v>2</v>
      </c>
      <c r="J105" s="54"/>
    </row>
    <row r="106" spans="1:13" ht="15" customHeight="1" x14ac:dyDescent="0.2">
      <c r="A106" s="55" t="s">
        <v>57</v>
      </c>
      <c r="B106" s="55"/>
      <c r="C106" s="55"/>
      <c r="D106" s="55"/>
      <c r="E106" s="55"/>
      <c r="F106" s="55"/>
      <c r="G106" s="55"/>
      <c r="H106" s="56"/>
      <c r="I106" s="69">
        <f>I6</f>
        <v>0</v>
      </c>
      <c r="J106" s="70"/>
    </row>
    <row r="107" spans="1:13" ht="15" customHeight="1" thickBot="1" x14ac:dyDescent="0.25">
      <c r="A107" s="55"/>
      <c r="B107" s="55"/>
      <c r="C107" s="55"/>
      <c r="D107" s="55"/>
      <c r="E107" s="55"/>
      <c r="F107" s="55"/>
      <c r="G107" s="55"/>
      <c r="H107" s="56"/>
      <c r="I107" s="71"/>
      <c r="J107" s="72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5" t="s">
        <v>58</v>
      </c>
      <c r="B109" s="65"/>
      <c r="C109" s="65"/>
      <c r="D109" s="65"/>
      <c r="E109" s="65"/>
      <c r="F109" s="65"/>
      <c r="G109" s="65"/>
      <c r="H109" s="65"/>
      <c r="I109" s="73" t="s">
        <v>61</v>
      </c>
      <c r="J109" s="73"/>
    </row>
    <row r="110" spans="1:13" ht="15" customHeight="1" x14ac:dyDescent="0.2">
      <c r="A110" s="61" t="s">
        <v>48</v>
      </c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3" ht="15" customHeight="1" x14ac:dyDescent="0.25">
      <c r="A111" s="68" t="s">
        <v>42</v>
      </c>
      <c r="B111" s="68"/>
      <c r="C111" s="68" t="s">
        <v>43</v>
      </c>
      <c r="D111" s="68"/>
      <c r="E111" s="68" t="s">
        <v>44</v>
      </c>
      <c r="F111" s="68"/>
      <c r="G111" s="68" t="s">
        <v>186</v>
      </c>
      <c r="H111" s="68"/>
      <c r="I111" s="68" t="s">
        <v>41</v>
      </c>
      <c r="J111" s="68"/>
    </row>
    <row r="112" spans="1:13" ht="15" customHeight="1" x14ac:dyDescent="0.2">
      <c r="A112" s="77" t="s">
        <v>170</v>
      </c>
      <c r="B112" s="78"/>
      <c r="C112" s="76">
        <v>315</v>
      </c>
      <c r="D112" s="76"/>
      <c r="E112" s="79">
        <v>1000</v>
      </c>
      <c r="F112" s="80"/>
      <c r="G112" s="63">
        <f>MROUND(1240*$I$8,5)</f>
        <v>1275</v>
      </c>
      <c r="H112" s="63"/>
      <c r="I112" s="64">
        <f t="shared" ref="I112:I132" si="11">ROUND(G112*$J$108,0)</f>
        <v>1275</v>
      </c>
      <c r="J112" s="64"/>
      <c r="L112" s="22"/>
      <c r="M112" s="22"/>
    </row>
    <row r="113" spans="1:13" ht="15" customHeight="1" x14ac:dyDescent="0.2">
      <c r="A113" s="79"/>
      <c r="B113" s="80"/>
      <c r="C113" s="76">
        <v>400</v>
      </c>
      <c r="D113" s="76"/>
      <c r="E113" s="79"/>
      <c r="F113" s="80"/>
      <c r="G113" s="63">
        <f>MROUND(1395*$I$8,5)</f>
        <v>1435</v>
      </c>
      <c r="H113" s="63"/>
      <c r="I113" s="64">
        <f t="shared" si="11"/>
        <v>1435</v>
      </c>
      <c r="J113" s="64"/>
      <c r="L113" s="22"/>
      <c r="M113" s="22"/>
    </row>
    <row r="114" spans="1:13" ht="15" customHeight="1" x14ac:dyDescent="0.2">
      <c r="A114" s="79"/>
      <c r="B114" s="80"/>
      <c r="C114" s="76">
        <v>500</v>
      </c>
      <c r="D114" s="76"/>
      <c r="E114" s="79"/>
      <c r="F114" s="80"/>
      <c r="G114" s="63">
        <f>MROUND(1600*$I$8,5)</f>
        <v>1650</v>
      </c>
      <c r="H114" s="63"/>
      <c r="I114" s="64">
        <f t="shared" si="11"/>
        <v>1650</v>
      </c>
      <c r="J114" s="64"/>
      <c r="L114" s="22"/>
      <c r="M114" s="22"/>
    </row>
    <row r="115" spans="1:13" ht="15" customHeight="1" x14ac:dyDescent="0.2">
      <c r="A115" s="79"/>
      <c r="B115" s="80"/>
      <c r="C115" s="76">
        <v>630</v>
      </c>
      <c r="D115" s="76"/>
      <c r="E115" s="79"/>
      <c r="F115" s="80"/>
      <c r="G115" s="63">
        <f>MROUND(1865*$I$8,5)</f>
        <v>1920</v>
      </c>
      <c r="H115" s="63"/>
      <c r="I115" s="64">
        <f t="shared" si="11"/>
        <v>1920</v>
      </c>
      <c r="J115" s="64"/>
      <c r="L115" s="22"/>
      <c r="M115" s="22"/>
    </row>
    <row r="116" spans="1:13" ht="15" customHeight="1" x14ac:dyDescent="0.2">
      <c r="A116" s="79"/>
      <c r="B116" s="80"/>
      <c r="C116" s="76">
        <v>710</v>
      </c>
      <c r="D116" s="76"/>
      <c r="E116" s="79"/>
      <c r="F116" s="80"/>
      <c r="G116" s="63">
        <f>MROUND(2075*$I$8,5)</f>
        <v>2135</v>
      </c>
      <c r="H116" s="63"/>
      <c r="I116" s="64">
        <f t="shared" ref="I116" si="12">ROUND(G116*$J$108,0)</f>
        <v>2135</v>
      </c>
      <c r="J116" s="64"/>
      <c r="L116" s="22"/>
      <c r="M116" s="22"/>
    </row>
    <row r="117" spans="1:13" ht="15" customHeight="1" x14ac:dyDescent="0.2">
      <c r="A117" s="79"/>
      <c r="B117" s="80"/>
      <c r="C117" s="76">
        <v>800</v>
      </c>
      <c r="D117" s="76"/>
      <c r="E117" s="79"/>
      <c r="F117" s="80"/>
      <c r="G117" s="63">
        <f>MROUND(2235*$I$8,5)</f>
        <v>2300</v>
      </c>
      <c r="H117" s="63"/>
      <c r="I117" s="64">
        <f t="shared" si="11"/>
        <v>2300</v>
      </c>
      <c r="J117" s="64"/>
      <c r="L117" s="22"/>
      <c r="M117" s="22"/>
    </row>
    <row r="118" spans="1:13" ht="15" customHeight="1" x14ac:dyDescent="0.2">
      <c r="A118" s="79"/>
      <c r="B118" s="80"/>
      <c r="C118" s="76">
        <v>1000</v>
      </c>
      <c r="D118" s="76"/>
      <c r="E118" s="86"/>
      <c r="F118" s="87"/>
      <c r="G118" s="63">
        <f>MROUND(2625*$I$8,5)</f>
        <v>2705</v>
      </c>
      <c r="H118" s="63"/>
      <c r="I118" s="64">
        <f t="shared" si="11"/>
        <v>2705</v>
      </c>
      <c r="J118" s="64"/>
      <c r="L118" s="22"/>
      <c r="M118" s="22"/>
    </row>
    <row r="119" spans="1:13" ht="15" customHeight="1" x14ac:dyDescent="0.2">
      <c r="A119" s="77" t="s">
        <v>170</v>
      </c>
      <c r="B119" s="78"/>
      <c r="C119" s="76">
        <v>315</v>
      </c>
      <c r="D119" s="76"/>
      <c r="E119" s="79">
        <v>1500</v>
      </c>
      <c r="F119" s="80"/>
      <c r="G119" s="63">
        <f>MROUND(1860*$I$8,5)</f>
        <v>1915</v>
      </c>
      <c r="H119" s="63"/>
      <c r="I119" s="64">
        <f t="shared" si="11"/>
        <v>1915</v>
      </c>
      <c r="J119" s="64"/>
      <c r="L119" s="22"/>
      <c r="M119" s="22"/>
    </row>
    <row r="120" spans="1:13" ht="15" customHeight="1" x14ac:dyDescent="0.2">
      <c r="A120" s="79"/>
      <c r="B120" s="80"/>
      <c r="C120" s="76">
        <v>400</v>
      </c>
      <c r="D120" s="76"/>
      <c r="E120" s="79"/>
      <c r="F120" s="80"/>
      <c r="G120" s="63">
        <f>MROUND(2095*$I$8,5)</f>
        <v>2160</v>
      </c>
      <c r="H120" s="63"/>
      <c r="I120" s="64">
        <f t="shared" si="11"/>
        <v>2160</v>
      </c>
      <c r="J120" s="64"/>
      <c r="L120" s="22"/>
      <c r="M120" s="22"/>
    </row>
    <row r="121" spans="1:13" ht="15" customHeight="1" x14ac:dyDescent="0.2">
      <c r="A121" s="79"/>
      <c r="B121" s="80"/>
      <c r="C121" s="76">
        <v>500</v>
      </c>
      <c r="D121" s="76"/>
      <c r="E121" s="79"/>
      <c r="F121" s="80"/>
      <c r="G121" s="63">
        <f>MROUND(2405*$I$8,5)</f>
        <v>2475</v>
      </c>
      <c r="H121" s="63"/>
      <c r="I121" s="64">
        <f t="shared" si="11"/>
        <v>2475</v>
      </c>
      <c r="J121" s="64"/>
      <c r="L121" s="22"/>
      <c r="M121" s="22"/>
    </row>
    <row r="122" spans="1:13" ht="15" customHeight="1" x14ac:dyDescent="0.2">
      <c r="A122" s="79"/>
      <c r="B122" s="80"/>
      <c r="C122" s="76">
        <v>630</v>
      </c>
      <c r="D122" s="76"/>
      <c r="E122" s="79"/>
      <c r="F122" s="80"/>
      <c r="G122" s="63">
        <f>MROUND(2800*$I$8,5)</f>
        <v>2885</v>
      </c>
      <c r="H122" s="63"/>
      <c r="I122" s="64">
        <f t="shared" si="11"/>
        <v>2885</v>
      </c>
      <c r="J122" s="64"/>
      <c r="L122" s="22"/>
      <c r="M122" s="22"/>
    </row>
    <row r="123" spans="1:13" ht="15" customHeight="1" x14ac:dyDescent="0.2">
      <c r="A123" s="79"/>
      <c r="B123" s="80"/>
      <c r="C123" s="76">
        <v>710</v>
      </c>
      <c r="D123" s="76"/>
      <c r="E123" s="79"/>
      <c r="F123" s="80"/>
      <c r="G123" s="63">
        <f>MROUND(3095*$I$8,5)</f>
        <v>3190</v>
      </c>
      <c r="H123" s="63"/>
      <c r="I123" s="64">
        <f t="shared" ref="I123" si="13">ROUND(G123*$J$108,0)</f>
        <v>3190</v>
      </c>
      <c r="J123" s="64"/>
      <c r="L123" s="22"/>
      <c r="M123" s="22"/>
    </row>
    <row r="124" spans="1:13" ht="15" customHeight="1" x14ac:dyDescent="0.2">
      <c r="A124" s="79"/>
      <c r="B124" s="80"/>
      <c r="C124" s="76">
        <v>800</v>
      </c>
      <c r="D124" s="76"/>
      <c r="E124" s="79"/>
      <c r="F124" s="80"/>
      <c r="G124" s="63">
        <f>MROUND(3350*$I$8,5)</f>
        <v>3450</v>
      </c>
      <c r="H124" s="63"/>
      <c r="I124" s="64">
        <f t="shared" si="11"/>
        <v>3450</v>
      </c>
      <c r="J124" s="64"/>
      <c r="L124" s="22"/>
      <c r="M124" s="22"/>
    </row>
    <row r="125" spans="1:13" ht="15" customHeight="1" x14ac:dyDescent="0.2">
      <c r="A125" s="79"/>
      <c r="B125" s="80"/>
      <c r="C125" s="76">
        <v>1000</v>
      </c>
      <c r="D125" s="76"/>
      <c r="E125" s="86"/>
      <c r="F125" s="87"/>
      <c r="G125" s="63">
        <f>MROUND(3940*$I$8,5)</f>
        <v>4060</v>
      </c>
      <c r="H125" s="63"/>
      <c r="I125" s="64">
        <f t="shared" si="11"/>
        <v>4060</v>
      </c>
      <c r="J125" s="64"/>
      <c r="L125" s="22"/>
      <c r="M125" s="22"/>
    </row>
    <row r="126" spans="1:13" ht="15" customHeight="1" x14ac:dyDescent="0.2">
      <c r="A126" s="81" t="s">
        <v>170</v>
      </c>
      <c r="B126" s="82"/>
      <c r="C126" s="76">
        <v>315</v>
      </c>
      <c r="D126" s="76"/>
      <c r="E126" s="79">
        <v>2000</v>
      </c>
      <c r="F126" s="80"/>
      <c r="G126" s="63">
        <f>MROUND(2475*$I$8,5)</f>
        <v>2550</v>
      </c>
      <c r="H126" s="63"/>
      <c r="I126" s="64">
        <f t="shared" si="11"/>
        <v>2550</v>
      </c>
      <c r="J126" s="64"/>
      <c r="L126" s="22"/>
      <c r="M126" s="22"/>
    </row>
    <row r="127" spans="1:13" ht="15" customHeight="1" x14ac:dyDescent="0.2">
      <c r="A127" s="82"/>
      <c r="B127" s="82"/>
      <c r="C127" s="76">
        <v>400</v>
      </c>
      <c r="D127" s="76"/>
      <c r="E127" s="79"/>
      <c r="F127" s="80"/>
      <c r="G127" s="63">
        <f>MROUND(2795*$I$8,5)</f>
        <v>2880</v>
      </c>
      <c r="H127" s="63"/>
      <c r="I127" s="64">
        <f t="shared" si="11"/>
        <v>2880</v>
      </c>
      <c r="J127" s="64"/>
      <c r="L127" s="22"/>
      <c r="M127" s="22"/>
    </row>
    <row r="128" spans="1:13" ht="15" customHeight="1" x14ac:dyDescent="0.2">
      <c r="A128" s="82"/>
      <c r="B128" s="82"/>
      <c r="C128" s="76">
        <v>500</v>
      </c>
      <c r="D128" s="76"/>
      <c r="E128" s="79"/>
      <c r="F128" s="80"/>
      <c r="G128" s="63">
        <f>MROUND(3200*$I$8,5)</f>
        <v>3295</v>
      </c>
      <c r="H128" s="63"/>
      <c r="I128" s="64">
        <f t="shared" si="11"/>
        <v>3295</v>
      </c>
      <c r="J128" s="64"/>
      <c r="L128" s="22"/>
      <c r="M128" s="22"/>
    </row>
    <row r="129" spans="1:19" ht="15" customHeight="1" x14ac:dyDescent="0.2">
      <c r="A129" s="82"/>
      <c r="B129" s="82"/>
      <c r="C129" s="76">
        <v>630</v>
      </c>
      <c r="D129" s="76"/>
      <c r="E129" s="79"/>
      <c r="F129" s="80"/>
      <c r="G129" s="63">
        <f>MROUND(3730*$I$8,5)</f>
        <v>3840</v>
      </c>
      <c r="H129" s="63"/>
      <c r="I129" s="64">
        <f t="shared" si="11"/>
        <v>3840</v>
      </c>
      <c r="J129" s="64"/>
      <c r="L129" s="22"/>
      <c r="M129" s="22"/>
    </row>
    <row r="130" spans="1:19" ht="15" customHeight="1" x14ac:dyDescent="0.2">
      <c r="A130" s="82"/>
      <c r="B130" s="82"/>
      <c r="C130" s="76">
        <v>710</v>
      </c>
      <c r="D130" s="76"/>
      <c r="E130" s="79"/>
      <c r="F130" s="80"/>
      <c r="G130" s="63">
        <f>MROUND(4165*$I$8,5)</f>
        <v>4290</v>
      </c>
      <c r="H130" s="63"/>
      <c r="I130" s="64">
        <f t="shared" ref="I130" si="14">ROUND(G130*$J$108,0)</f>
        <v>4290</v>
      </c>
      <c r="J130" s="64"/>
      <c r="L130" s="22"/>
      <c r="M130" s="22"/>
    </row>
    <row r="131" spans="1:19" ht="15" customHeight="1" x14ac:dyDescent="0.2">
      <c r="A131" s="82"/>
      <c r="B131" s="82"/>
      <c r="C131" s="76">
        <v>800</v>
      </c>
      <c r="D131" s="76"/>
      <c r="E131" s="79"/>
      <c r="F131" s="80"/>
      <c r="G131" s="63">
        <f>MROUND(4465*$I$8,5)</f>
        <v>4600</v>
      </c>
      <c r="H131" s="63"/>
      <c r="I131" s="64">
        <f t="shared" si="11"/>
        <v>4600</v>
      </c>
      <c r="J131" s="64"/>
      <c r="L131" s="22"/>
      <c r="M131" s="22"/>
    </row>
    <row r="132" spans="1:19" ht="15" customHeight="1" x14ac:dyDescent="0.2">
      <c r="A132" s="82"/>
      <c r="B132" s="82"/>
      <c r="C132" s="76">
        <v>1000</v>
      </c>
      <c r="D132" s="76"/>
      <c r="E132" s="86"/>
      <c r="F132" s="87"/>
      <c r="G132" s="63">
        <f>MROUND(5245*$I$8,5)</f>
        <v>5400</v>
      </c>
      <c r="H132" s="63"/>
      <c r="I132" s="64">
        <f t="shared" si="11"/>
        <v>5400</v>
      </c>
      <c r="J132" s="64"/>
      <c r="L132" s="22"/>
      <c r="M132" s="22"/>
    </row>
    <row r="133" spans="1:19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9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9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9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9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9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9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9" ht="15" customHeight="1" x14ac:dyDescent="0.25">
      <c r="A140" s="65" t="s">
        <v>62</v>
      </c>
      <c r="B140" s="65"/>
      <c r="C140" s="65"/>
      <c r="D140" s="65"/>
      <c r="E140" s="65"/>
      <c r="F140" s="65"/>
      <c r="G140" s="65"/>
      <c r="H140" s="65"/>
      <c r="I140" s="8">
        <v>25</v>
      </c>
      <c r="J140" s="8">
        <v>100</v>
      </c>
    </row>
    <row r="141" spans="1:19" ht="15" customHeight="1" x14ac:dyDescent="0.2">
      <c r="A141" s="61" t="s">
        <v>53</v>
      </c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9" ht="15" customHeight="1" x14ac:dyDescent="0.2">
      <c r="A142" s="83" t="s">
        <v>45</v>
      </c>
      <c r="B142" s="84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9" ht="15" customHeight="1" x14ac:dyDescent="0.2">
      <c r="A143" s="74" t="s">
        <v>181</v>
      </c>
      <c r="B143" s="75"/>
      <c r="C143" s="26">
        <f>MROUND(225*$I$8*$J$108,5)</f>
        <v>230</v>
      </c>
      <c r="D143" s="26">
        <f>MROUND(240*$I$8*$J$108,5)</f>
        <v>245</v>
      </c>
      <c r="E143" s="26">
        <f>MROUND(255*$I$8*$J$108,5)</f>
        <v>265</v>
      </c>
      <c r="F143" s="26">
        <f>MROUND(275*$I$8*$J$108,5)</f>
        <v>285</v>
      </c>
      <c r="G143" s="26">
        <f>MROUND(300*$I$8*$J$108,5)</f>
        <v>310</v>
      </c>
      <c r="H143" s="26">
        <f>MROUND(340*$I$8*$J$108,5)</f>
        <v>350</v>
      </c>
      <c r="I143" s="26">
        <f>MROUND(375*$I$8*$J$108,5)</f>
        <v>385</v>
      </c>
      <c r="J143" s="26">
        <f>MROUND(430*$I$8*$J$108,5)</f>
        <v>445</v>
      </c>
      <c r="L143" s="29"/>
      <c r="M143" s="29"/>
      <c r="N143" s="29"/>
      <c r="O143" s="29"/>
      <c r="P143" s="29"/>
      <c r="Q143" s="29"/>
      <c r="R143" s="29"/>
      <c r="S143" s="29"/>
    </row>
    <row r="144" spans="1:19" ht="15" customHeight="1" x14ac:dyDescent="0.2">
      <c r="A144" s="74" t="s">
        <v>182</v>
      </c>
      <c r="B144" s="75"/>
      <c r="C144" s="26">
        <f>MROUND(210*$I$8*$J$108,5)</f>
        <v>215</v>
      </c>
      <c r="D144" s="26">
        <f>MROUND(215*$I$8*$J$108,5)</f>
        <v>220</v>
      </c>
      <c r="E144" s="26">
        <f>MROUND(230*$I$8*$J$108,5)</f>
        <v>235</v>
      </c>
      <c r="F144" s="26">
        <f>MROUND(245*$I$8*$J$108,5)</f>
        <v>250</v>
      </c>
      <c r="G144" s="26">
        <f>MROUND(260*$I$8*$J$108,5)</f>
        <v>270</v>
      </c>
      <c r="H144" s="26">
        <f>MROUND(290*$I$8*$J$108,5)</f>
        <v>300</v>
      </c>
      <c r="I144" s="26">
        <f>MROUND(325*$I$8*$J$108,5)</f>
        <v>335</v>
      </c>
      <c r="J144" s="26">
        <f>MROUND(360*$I$8*$J$108,5)</f>
        <v>370</v>
      </c>
      <c r="L144" s="29"/>
      <c r="M144" s="29"/>
      <c r="N144" s="29"/>
      <c r="O144" s="29"/>
      <c r="P144" s="29"/>
      <c r="Q144" s="29"/>
      <c r="R144" s="29"/>
      <c r="S144" s="29"/>
    </row>
    <row r="145" spans="1:10" ht="15" customHeight="1" x14ac:dyDescent="0.2">
      <c r="A145" s="74" t="s">
        <v>183</v>
      </c>
      <c r="B145" s="75"/>
      <c r="C145" s="26">
        <f>C143+C144</f>
        <v>445</v>
      </c>
      <c r="D145" s="26">
        <f t="shared" ref="D145" si="15">D143+D144</f>
        <v>465</v>
      </c>
      <c r="E145" s="26">
        <f t="shared" ref="E145" si="16">E143+E144</f>
        <v>500</v>
      </c>
      <c r="F145" s="26">
        <f t="shared" ref="F145" si="17">F143+F144</f>
        <v>535</v>
      </c>
      <c r="G145" s="26">
        <f t="shared" ref="G145" si="18">G143+G144</f>
        <v>580</v>
      </c>
      <c r="H145" s="26">
        <f t="shared" ref="H145" si="19">H143+H144</f>
        <v>650</v>
      </c>
      <c r="I145" s="26">
        <f t="shared" ref="I145" si="20">I143+I144</f>
        <v>720</v>
      </c>
      <c r="J145" s="26">
        <f t="shared" ref="J145" si="21">J143+J144</f>
        <v>815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94"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4" t="s">
        <v>2</v>
      </c>
      <c r="J5" s="54"/>
    </row>
    <row r="6" spans="1:13" ht="15" customHeight="1" x14ac:dyDescent="0.2">
      <c r="A6" s="55" t="s">
        <v>65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3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5" t="s">
        <v>58</v>
      </c>
      <c r="B9" s="65"/>
      <c r="C9" s="65"/>
      <c r="D9" s="65"/>
      <c r="E9" s="65"/>
      <c r="F9" s="65"/>
      <c r="G9" s="65"/>
      <c r="H9" s="65"/>
      <c r="I9" s="73" t="s">
        <v>70</v>
      </c>
      <c r="J9" s="73"/>
    </row>
    <row r="10" spans="1:13" ht="15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ht="15" customHeight="1" x14ac:dyDescent="0.25">
      <c r="A11" s="68" t="s">
        <v>42</v>
      </c>
      <c r="B11" s="68"/>
      <c r="C11" s="68" t="s">
        <v>43</v>
      </c>
      <c r="D11" s="68"/>
      <c r="E11" s="68" t="s">
        <v>44</v>
      </c>
      <c r="F11" s="68"/>
      <c r="G11" s="68" t="s">
        <v>186</v>
      </c>
      <c r="H11" s="68"/>
      <c r="I11" s="68" t="s">
        <v>41</v>
      </c>
      <c r="J11" s="68"/>
    </row>
    <row r="12" spans="1:13" ht="15" customHeight="1" x14ac:dyDescent="0.2">
      <c r="A12" s="77" t="s">
        <v>69</v>
      </c>
      <c r="B12" s="78"/>
      <c r="C12" s="76">
        <v>200</v>
      </c>
      <c r="D12" s="76"/>
      <c r="E12" s="85">
        <v>1000</v>
      </c>
      <c r="F12" s="78"/>
      <c r="G12" s="63">
        <f>MROUND(755*$I$8,5)</f>
        <v>780</v>
      </c>
      <c r="H12" s="63"/>
      <c r="I12" s="64">
        <f>ROUND(G12*$J$8,0)</f>
        <v>780</v>
      </c>
      <c r="J12" s="64"/>
      <c r="L12" s="22"/>
      <c r="M12" s="22"/>
    </row>
    <row r="13" spans="1:13" ht="15" customHeight="1" x14ac:dyDescent="0.2">
      <c r="A13" s="79"/>
      <c r="B13" s="80"/>
      <c r="C13" s="76">
        <v>250</v>
      </c>
      <c r="D13" s="76"/>
      <c r="E13" s="79"/>
      <c r="F13" s="80"/>
      <c r="G13" s="63">
        <f>MROUND(820*$I$8,5)</f>
        <v>845</v>
      </c>
      <c r="H13" s="63"/>
      <c r="I13" s="64">
        <f t="shared" ref="I13:I38" si="0">ROUND(G13*$J$8,0)</f>
        <v>845</v>
      </c>
      <c r="J13" s="64"/>
      <c r="L13" s="22"/>
      <c r="M13" s="22"/>
    </row>
    <row r="14" spans="1:13" ht="15" customHeight="1" x14ac:dyDescent="0.2">
      <c r="A14" s="79"/>
      <c r="B14" s="80"/>
      <c r="C14" s="76">
        <v>315</v>
      </c>
      <c r="D14" s="76"/>
      <c r="E14" s="79"/>
      <c r="F14" s="80"/>
      <c r="G14" s="63">
        <f>MROUND(930*$I$8,5)</f>
        <v>960</v>
      </c>
      <c r="H14" s="63"/>
      <c r="I14" s="64">
        <f t="shared" si="0"/>
        <v>960</v>
      </c>
      <c r="J14" s="64"/>
      <c r="L14" s="22"/>
      <c r="M14" s="22"/>
    </row>
    <row r="15" spans="1:13" ht="15" customHeight="1" x14ac:dyDescent="0.2">
      <c r="A15" s="79"/>
      <c r="B15" s="80"/>
      <c r="C15" s="76">
        <v>400</v>
      </c>
      <c r="D15" s="76"/>
      <c r="E15" s="79"/>
      <c r="F15" s="80"/>
      <c r="G15" s="63">
        <f>MROUND(1085*$I$8,5)</f>
        <v>1120</v>
      </c>
      <c r="H15" s="63"/>
      <c r="I15" s="64">
        <f t="shared" si="0"/>
        <v>1120</v>
      </c>
      <c r="J15" s="64"/>
      <c r="L15" s="22"/>
      <c r="M15" s="22"/>
    </row>
    <row r="16" spans="1:13" ht="15" customHeight="1" x14ac:dyDescent="0.2">
      <c r="A16" s="79"/>
      <c r="B16" s="80"/>
      <c r="C16" s="76">
        <v>500</v>
      </c>
      <c r="D16" s="76"/>
      <c r="E16" s="79"/>
      <c r="F16" s="80"/>
      <c r="G16" s="63">
        <f>MROUND(1245*$I$8,5)</f>
        <v>1280</v>
      </c>
      <c r="H16" s="63"/>
      <c r="I16" s="64">
        <f t="shared" si="0"/>
        <v>1280</v>
      </c>
      <c r="J16" s="64"/>
      <c r="L16" s="22"/>
      <c r="M16" s="22"/>
    </row>
    <row r="17" spans="1:13" ht="15" customHeight="1" x14ac:dyDescent="0.2">
      <c r="A17" s="79"/>
      <c r="B17" s="80"/>
      <c r="C17" s="76">
        <v>630</v>
      </c>
      <c r="D17" s="76"/>
      <c r="E17" s="79"/>
      <c r="F17" s="80"/>
      <c r="G17" s="63">
        <f>MROUND(1505*$I$8,5)</f>
        <v>1550</v>
      </c>
      <c r="H17" s="63"/>
      <c r="I17" s="64">
        <f t="shared" si="0"/>
        <v>1550</v>
      </c>
      <c r="J17" s="64"/>
      <c r="L17" s="22"/>
      <c r="M17" s="22"/>
    </row>
    <row r="18" spans="1:13" ht="15" customHeight="1" x14ac:dyDescent="0.2">
      <c r="A18" s="79"/>
      <c r="B18" s="80"/>
      <c r="C18" s="76">
        <v>710</v>
      </c>
      <c r="D18" s="76"/>
      <c r="E18" s="79"/>
      <c r="F18" s="80"/>
      <c r="G18" s="63">
        <f>MROUND(1670*$I$8,5)</f>
        <v>1720</v>
      </c>
      <c r="H18" s="63"/>
      <c r="I18" s="64">
        <f t="shared" ref="I18" si="1">ROUND(G18*$J$8,0)</f>
        <v>1720</v>
      </c>
      <c r="J18" s="64"/>
      <c r="L18" s="22"/>
      <c r="M18" s="22"/>
    </row>
    <row r="19" spans="1:13" ht="15" customHeight="1" x14ac:dyDescent="0.2">
      <c r="A19" s="79"/>
      <c r="B19" s="80"/>
      <c r="C19" s="76">
        <v>800</v>
      </c>
      <c r="D19" s="76"/>
      <c r="E19" s="79"/>
      <c r="F19" s="80"/>
      <c r="G19" s="63">
        <f>MROUND(1820*$I$8,5)</f>
        <v>1875</v>
      </c>
      <c r="H19" s="63"/>
      <c r="I19" s="64">
        <f t="shared" si="0"/>
        <v>1875</v>
      </c>
      <c r="J19" s="64"/>
      <c r="L19" s="22"/>
      <c r="M19" s="22"/>
    </row>
    <row r="20" spans="1:13" ht="15" customHeight="1" x14ac:dyDescent="0.2">
      <c r="A20" s="86"/>
      <c r="B20" s="87"/>
      <c r="C20" s="76">
        <v>1000</v>
      </c>
      <c r="D20" s="76"/>
      <c r="E20" s="86"/>
      <c r="F20" s="87"/>
      <c r="G20" s="63">
        <f>MROUND(2160*$I$8,5)</f>
        <v>2225</v>
      </c>
      <c r="H20" s="63"/>
      <c r="I20" s="64">
        <f t="shared" si="0"/>
        <v>2225</v>
      </c>
      <c r="J20" s="64"/>
      <c r="L20" s="22"/>
      <c r="M20" s="22"/>
    </row>
    <row r="21" spans="1:13" ht="15" customHeight="1" x14ac:dyDescent="0.2">
      <c r="A21" s="77" t="s">
        <v>69</v>
      </c>
      <c r="B21" s="78"/>
      <c r="C21" s="76">
        <v>200</v>
      </c>
      <c r="D21" s="76"/>
      <c r="E21" s="85">
        <v>1500</v>
      </c>
      <c r="F21" s="78"/>
      <c r="G21" s="63">
        <f>MROUND(1130*$I$8,5)</f>
        <v>1165</v>
      </c>
      <c r="H21" s="63"/>
      <c r="I21" s="64">
        <f t="shared" si="0"/>
        <v>1165</v>
      </c>
      <c r="J21" s="64"/>
      <c r="L21" s="22"/>
      <c r="M21" s="22"/>
    </row>
    <row r="22" spans="1:13" ht="15" customHeight="1" x14ac:dyDescent="0.2">
      <c r="A22" s="79"/>
      <c r="B22" s="80"/>
      <c r="C22" s="76">
        <v>250</v>
      </c>
      <c r="D22" s="76"/>
      <c r="E22" s="79"/>
      <c r="F22" s="80"/>
      <c r="G22" s="63">
        <f>MROUND(1225*$I$8,5)</f>
        <v>1260</v>
      </c>
      <c r="H22" s="63"/>
      <c r="I22" s="64">
        <f t="shared" si="0"/>
        <v>1260</v>
      </c>
      <c r="J22" s="64"/>
      <c r="L22" s="22"/>
      <c r="M22" s="22"/>
    </row>
    <row r="23" spans="1:13" ht="15" customHeight="1" x14ac:dyDescent="0.2">
      <c r="A23" s="79"/>
      <c r="B23" s="80"/>
      <c r="C23" s="76">
        <v>315</v>
      </c>
      <c r="D23" s="76"/>
      <c r="E23" s="79"/>
      <c r="F23" s="80"/>
      <c r="G23" s="63">
        <f>MROUND(1390*$I$8,5)</f>
        <v>1430</v>
      </c>
      <c r="H23" s="63"/>
      <c r="I23" s="64">
        <f t="shared" si="0"/>
        <v>1430</v>
      </c>
      <c r="J23" s="64"/>
      <c r="L23" s="22"/>
      <c r="M23" s="22"/>
    </row>
    <row r="24" spans="1:13" ht="15" customHeight="1" x14ac:dyDescent="0.2">
      <c r="A24" s="79"/>
      <c r="B24" s="80"/>
      <c r="C24" s="76">
        <v>400</v>
      </c>
      <c r="D24" s="76"/>
      <c r="E24" s="79"/>
      <c r="F24" s="80"/>
      <c r="G24" s="63">
        <f>MROUND(1625*$I$8,5)</f>
        <v>1675</v>
      </c>
      <c r="H24" s="63"/>
      <c r="I24" s="64">
        <f t="shared" si="0"/>
        <v>1675</v>
      </c>
      <c r="J24" s="64"/>
      <c r="L24" s="22"/>
      <c r="M24" s="22"/>
    </row>
    <row r="25" spans="1:13" ht="15" customHeight="1" x14ac:dyDescent="0.2">
      <c r="A25" s="79"/>
      <c r="B25" s="80"/>
      <c r="C25" s="76">
        <v>500</v>
      </c>
      <c r="D25" s="76"/>
      <c r="E25" s="79"/>
      <c r="F25" s="80"/>
      <c r="G25" s="63">
        <f>MROUND(1865*$I$8,5)</f>
        <v>1920</v>
      </c>
      <c r="H25" s="63"/>
      <c r="I25" s="64">
        <f t="shared" si="0"/>
        <v>1920</v>
      </c>
      <c r="J25" s="64"/>
      <c r="L25" s="22"/>
      <c r="M25" s="22"/>
    </row>
    <row r="26" spans="1:13" ht="15" customHeight="1" x14ac:dyDescent="0.2">
      <c r="A26" s="79"/>
      <c r="B26" s="80"/>
      <c r="C26" s="76">
        <v>630</v>
      </c>
      <c r="D26" s="76"/>
      <c r="E26" s="79"/>
      <c r="F26" s="80"/>
      <c r="G26" s="63">
        <f>MROUND(2260*$I$8,5)</f>
        <v>2330</v>
      </c>
      <c r="H26" s="63"/>
      <c r="I26" s="64">
        <f t="shared" si="0"/>
        <v>2330</v>
      </c>
      <c r="J26" s="64"/>
      <c r="L26" s="22"/>
      <c r="M26" s="22"/>
    </row>
    <row r="27" spans="1:13" ht="15" customHeight="1" x14ac:dyDescent="0.2">
      <c r="A27" s="79"/>
      <c r="B27" s="80"/>
      <c r="C27" s="76">
        <v>710</v>
      </c>
      <c r="D27" s="76"/>
      <c r="E27" s="79"/>
      <c r="F27" s="80"/>
      <c r="G27" s="63">
        <f>MROUND(2520*$I$8,5)</f>
        <v>2595</v>
      </c>
      <c r="H27" s="63"/>
      <c r="I27" s="64">
        <f t="shared" ref="I27" si="2">ROUND(G27*$J$8,0)</f>
        <v>2595</v>
      </c>
      <c r="J27" s="64"/>
      <c r="L27" s="22"/>
      <c r="M27" s="22"/>
    </row>
    <row r="28" spans="1:13" ht="15" customHeight="1" x14ac:dyDescent="0.2">
      <c r="A28" s="79"/>
      <c r="B28" s="80"/>
      <c r="C28" s="76">
        <v>800</v>
      </c>
      <c r="D28" s="76"/>
      <c r="E28" s="79"/>
      <c r="F28" s="80"/>
      <c r="G28" s="63">
        <f>MROUND(2730*$I$8,5)</f>
        <v>2810</v>
      </c>
      <c r="H28" s="63"/>
      <c r="I28" s="64">
        <f t="shared" si="0"/>
        <v>2810</v>
      </c>
      <c r="J28" s="64"/>
      <c r="L28" s="22"/>
      <c r="M28" s="22"/>
    </row>
    <row r="29" spans="1:13" ht="15" customHeight="1" x14ac:dyDescent="0.2">
      <c r="A29" s="86"/>
      <c r="B29" s="87"/>
      <c r="C29" s="76">
        <v>1000</v>
      </c>
      <c r="D29" s="76"/>
      <c r="E29" s="86"/>
      <c r="F29" s="87"/>
      <c r="G29" s="63">
        <f>MROUND(3240*$I$8,5)</f>
        <v>3335</v>
      </c>
      <c r="H29" s="63"/>
      <c r="I29" s="64">
        <f t="shared" si="0"/>
        <v>3335</v>
      </c>
      <c r="J29" s="64"/>
      <c r="L29" s="22"/>
      <c r="M29" s="22"/>
    </row>
    <row r="30" spans="1:13" ht="15" customHeight="1" x14ac:dyDescent="0.2">
      <c r="A30" s="77" t="s">
        <v>69</v>
      </c>
      <c r="B30" s="78"/>
      <c r="C30" s="76">
        <v>200</v>
      </c>
      <c r="D30" s="76"/>
      <c r="E30" s="85">
        <v>2000</v>
      </c>
      <c r="F30" s="78"/>
      <c r="G30" s="63">
        <f>MROUND(1505*$I$8,5)</f>
        <v>1550</v>
      </c>
      <c r="H30" s="63"/>
      <c r="I30" s="64">
        <f t="shared" si="0"/>
        <v>1550</v>
      </c>
      <c r="J30" s="64"/>
      <c r="L30" s="22"/>
      <c r="M30" s="22"/>
    </row>
    <row r="31" spans="1:13" ht="15" customHeight="1" x14ac:dyDescent="0.2">
      <c r="A31" s="79"/>
      <c r="B31" s="80"/>
      <c r="C31" s="76">
        <v>250</v>
      </c>
      <c r="D31" s="76"/>
      <c r="E31" s="79"/>
      <c r="F31" s="80"/>
      <c r="G31" s="63">
        <f>MROUND(1640*$I$8,5)</f>
        <v>1690</v>
      </c>
      <c r="H31" s="63"/>
      <c r="I31" s="64">
        <f t="shared" si="0"/>
        <v>1690</v>
      </c>
      <c r="J31" s="64"/>
      <c r="L31" s="22"/>
      <c r="M31" s="22"/>
    </row>
    <row r="32" spans="1:13" ht="15" customHeight="1" x14ac:dyDescent="0.2">
      <c r="A32" s="79"/>
      <c r="B32" s="80"/>
      <c r="C32" s="76">
        <v>315</v>
      </c>
      <c r="D32" s="76"/>
      <c r="E32" s="79"/>
      <c r="F32" s="80"/>
      <c r="G32" s="63">
        <f>MROUND(1860*$I$8,5)</f>
        <v>1915</v>
      </c>
      <c r="H32" s="63"/>
      <c r="I32" s="64">
        <f t="shared" si="0"/>
        <v>1915</v>
      </c>
      <c r="J32" s="64"/>
      <c r="L32" s="22"/>
      <c r="M32" s="22"/>
    </row>
    <row r="33" spans="1:13" ht="15" customHeight="1" x14ac:dyDescent="0.2">
      <c r="A33" s="79"/>
      <c r="B33" s="80"/>
      <c r="C33" s="76">
        <v>400</v>
      </c>
      <c r="D33" s="76"/>
      <c r="E33" s="79"/>
      <c r="F33" s="80"/>
      <c r="G33" s="63">
        <f>MROUND(2165*$I$8,5)</f>
        <v>2230</v>
      </c>
      <c r="H33" s="63"/>
      <c r="I33" s="64">
        <f t="shared" si="0"/>
        <v>2230</v>
      </c>
      <c r="J33" s="64"/>
      <c r="L33" s="22"/>
      <c r="M33" s="22"/>
    </row>
    <row r="34" spans="1:13" ht="15" customHeight="1" x14ac:dyDescent="0.2">
      <c r="A34" s="79"/>
      <c r="B34" s="80"/>
      <c r="C34" s="76">
        <v>500</v>
      </c>
      <c r="D34" s="76"/>
      <c r="E34" s="79"/>
      <c r="F34" s="80"/>
      <c r="G34" s="63">
        <f>MROUND(2485*$I$8,5)</f>
        <v>2560</v>
      </c>
      <c r="H34" s="63"/>
      <c r="I34" s="64">
        <f t="shared" si="0"/>
        <v>2560</v>
      </c>
      <c r="J34" s="64"/>
      <c r="L34" s="22"/>
      <c r="M34" s="22"/>
    </row>
    <row r="35" spans="1:13" ht="15" customHeight="1" x14ac:dyDescent="0.2">
      <c r="A35" s="79"/>
      <c r="B35" s="80"/>
      <c r="C35" s="76">
        <v>630</v>
      </c>
      <c r="D35" s="76"/>
      <c r="E35" s="79"/>
      <c r="F35" s="80"/>
      <c r="G35" s="63">
        <f>MROUND(3015*$I$8,5)</f>
        <v>3105</v>
      </c>
      <c r="H35" s="63"/>
      <c r="I35" s="64">
        <f t="shared" si="0"/>
        <v>3105</v>
      </c>
      <c r="J35" s="64"/>
      <c r="L35" s="22"/>
      <c r="M35" s="22"/>
    </row>
    <row r="36" spans="1:13" ht="15" customHeight="1" x14ac:dyDescent="0.2">
      <c r="A36" s="79"/>
      <c r="B36" s="80"/>
      <c r="C36" s="76">
        <v>710</v>
      </c>
      <c r="D36" s="76"/>
      <c r="E36" s="79"/>
      <c r="F36" s="80"/>
      <c r="G36" s="63">
        <f>MROUND(3365*$I$8,5)</f>
        <v>3465</v>
      </c>
      <c r="H36" s="63"/>
      <c r="I36" s="64">
        <f t="shared" ref="I36" si="3">ROUND(G36*$J$8,0)</f>
        <v>3465</v>
      </c>
      <c r="J36" s="64"/>
      <c r="L36" s="22"/>
      <c r="M36" s="22"/>
    </row>
    <row r="37" spans="1:13" ht="15" customHeight="1" x14ac:dyDescent="0.2">
      <c r="A37" s="79"/>
      <c r="B37" s="80"/>
      <c r="C37" s="76">
        <v>800</v>
      </c>
      <c r="D37" s="76"/>
      <c r="E37" s="79"/>
      <c r="F37" s="80"/>
      <c r="G37" s="63">
        <f>MROUND(3640*$I$8,5)</f>
        <v>3750</v>
      </c>
      <c r="H37" s="63"/>
      <c r="I37" s="64">
        <f t="shared" si="0"/>
        <v>3750</v>
      </c>
      <c r="J37" s="64"/>
      <c r="L37" s="22"/>
      <c r="M37" s="22"/>
    </row>
    <row r="38" spans="1:13" ht="15" customHeight="1" x14ac:dyDescent="0.2">
      <c r="A38" s="86"/>
      <c r="B38" s="87"/>
      <c r="C38" s="76">
        <v>1000</v>
      </c>
      <c r="D38" s="76"/>
      <c r="E38" s="86"/>
      <c r="F38" s="87"/>
      <c r="G38" s="63">
        <f>MROUND(4325*$I$8,5)</f>
        <v>4455</v>
      </c>
      <c r="H38" s="63"/>
      <c r="I38" s="64">
        <f t="shared" si="0"/>
        <v>4455</v>
      </c>
      <c r="J38" s="64"/>
      <c r="L38" s="22"/>
      <c r="M38" s="22"/>
    </row>
    <row r="39" spans="1:13" ht="15" customHeight="1" x14ac:dyDescent="0.2">
      <c r="A39" s="5"/>
      <c r="B39" s="5"/>
      <c r="C39" s="5"/>
      <c r="D39" s="5"/>
      <c r="E39" s="5"/>
      <c r="F39" s="5"/>
      <c r="G39" s="6"/>
      <c r="H39" s="6"/>
      <c r="I39" s="7"/>
      <c r="J39" s="7"/>
    </row>
    <row r="40" spans="1:13" ht="15" customHeight="1" x14ac:dyDescent="0.25">
      <c r="A40" s="65" t="s">
        <v>59</v>
      </c>
      <c r="B40" s="65"/>
      <c r="C40" s="65"/>
      <c r="D40" s="65"/>
      <c r="E40" s="65"/>
      <c r="F40" s="65"/>
      <c r="G40" s="65"/>
      <c r="H40" s="65"/>
      <c r="I40" s="8">
        <v>25</v>
      </c>
      <c r="J40" s="8">
        <v>100</v>
      </c>
    </row>
    <row r="41" spans="1:13" ht="15" customHeight="1" x14ac:dyDescent="0.2">
      <c r="A41" s="61" t="s">
        <v>53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3" ht="15" customHeight="1" x14ac:dyDescent="0.2">
      <c r="A42" s="83" t="s">
        <v>45</v>
      </c>
      <c r="B42" s="84"/>
      <c r="C42" s="9">
        <v>200</v>
      </c>
      <c r="D42" s="9">
        <v>250</v>
      </c>
      <c r="E42" s="9">
        <v>315</v>
      </c>
      <c r="F42" s="9">
        <v>400</v>
      </c>
      <c r="G42" s="9">
        <v>500</v>
      </c>
      <c r="H42" s="9">
        <v>630</v>
      </c>
      <c r="I42" s="9">
        <v>800</v>
      </c>
      <c r="J42" s="9">
        <v>1000</v>
      </c>
    </row>
    <row r="43" spans="1:13" ht="15" customHeight="1" x14ac:dyDescent="0.2">
      <c r="A43" s="74" t="s">
        <v>181</v>
      </c>
      <c r="B43" s="75"/>
      <c r="C43" s="26">
        <f>MROUND(190*$I$8*$J$8,5)</f>
        <v>195</v>
      </c>
      <c r="D43" s="26">
        <f t="shared" ref="D43:E44" si="4">MROUND(190*$I$8*$J$8,5)</f>
        <v>195</v>
      </c>
      <c r="E43" s="26">
        <f>MROUND(200*$I$8*$J$8,5)</f>
        <v>205</v>
      </c>
      <c r="F43" s="26">
        <f>MROUND(210*$I$8*$J$8,5)</f>
        <v>215</v>
      </c>
      <c r="G43" s="26">
        <f>MROUND(215*$I$8*$J$8,5)</f>
        <v>220</v>
      </c>
      <c r="H43" s="26">
        <f>MROUND(230*$I$8*$J$8,5)</f>
        <v>235</v>
      </c>
      <c r="I43" s="26">
        <f>MROUND(245*$I$8*$J$8,5)</f>
        <v>250</v>
      </c>
      <c r="J43" s="26">
        <f>MROUND(270*$I$8*$J$8,5)</f>
        <v>280</v>
      </c>
    </row>
    <row r="44" spans="1:13" ht="15" customHeight="1" x14ac:dyDescent="0.2">
      <c r="A44" s="74" t="s">
        <v>182</v>
      </c>
      <c r="B44" s="75"/>
      <c r="C44" s="26">
        <f>MROUND(185*$I$8*$J$8,5)</f>
        <v>190</v>
      </c>
      <c r="D44" s="26">
        <f>MROUND(185*$I$8*$J$8,5)</f>
        <v>190</v>
      </c>
      <c r="E44" s="26">
        <f t="shared" si="4"/>
        <v>195</v>
      </c>
      <c r="F44" s="26">
        <f>MROUND(200*$I$8*$J$8,5)</f>
        <v>205</v>
      </c>
      <c r="G44" s="26">
        <f>MROUND(210*$I$8*$J$8,5)</f>
        <v>215</v>
      </c>
      <c r="H44" s="26">
        <f>MROUND(215*$I$8*$J$8,5)</f>
        <v>220</v>
      </c>
      <c r="I44" s="26">
        <f>MROUND(230*$I$8*$J$8,5)</f>
        <v>235</v>
      </c>
      <c r="J44" s="26">
        <f>MROUND(240*$I$8*$J$8,5)</f>
        <v>245</v>
      </c>
    </row>
    <row r="45" spans="1:13" ht="15" customHeight="1" x14ac:dyDescent="0.2">
      <c r="A45" s="74" t="s">
        <v>183</v>
      </c>
      <c r="B45" s="75"/>
      <c r="C45" s="26">
        <f>C43+C44</f>
        <v>385</v>
      </c>
      <c r="D45" s="26">
        <f t="shared" ref="D45:J45" si="5">D43+D44</f>
        <v>385</v>
      </c>
      <c r="E45" s="26">
        <f t="shared" si="5"/>
        <v>400</v>
      </c>
      <c r="F45" s="26">
        <f t="shared" si="5"/>
        <v>420</v>
      </c>
      <c r="G45" s="26">
        <f t="shared" si="5"/>
        <v>435</v>
      </c>
      <c r="H45" s="26">
        <f t="shared" si="5"/>
        <v>455</v>
      </c>
      <c r="I45" s="26">
        <f t="shared" si="5"/>
        <v>485</v>
      </c>
      <c r="J45" s="26">
        <f t="shared" si="5"/>
        <v>525</v>
      </c>
    </row>
    <row r="46" spans="1:13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3" ht="15" customHeight="1" x14ac:dyDescent="0.2">
      <c r="A47" s="3" t="s">
        <v>168</v>
      </c>
      <c r="B47" s="3"/>
      <c r="C47" s="3"/>
      <c r="D47" s="3"/>
      <c r="E47" s="3"/>
      <c r="F47" s="3"/>
      <c r="G47" s="3"/>
      <c r="H47" s="3"/>
      <c r="I47" s="3"/>
      <c r="J47" s="3"/>
    </row>
    <row r="48" spans="1:13" ht="15" customHeight="1" x14ac:dyDescent="0.2">
      <c r="A48" s="3" t="s">
        <v>169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4" t="s">
        <v>2</v>
      </c>
      <c r="J55" s="54"/>
    </row>
    <row r="56" spans="1:13" ht="15" customHeight="1" x14ac:dyDescent="0.2">
      <c r="A56" s="55" t="s">
        <v>65</v>
      </c>
      <c r="B56" s="55"/>
      <c r="C56" s="55"/>
      <c r="D56" s="55"/>
      <c r="E56" s="55"/>
      <c r="F56" s="55"/>
      <c r="G56" s="55"/>
      <c r="H56" s="56"/>
      <c r="I56" s="69">
        <f>I6</f>
        <v>0</v>
      </c>
      <c r="J56" s="70"/>
    </row>
    <row r="57" spans="1:13" ht="15" customHeight="1" thickBot="1" x14ac:dyDescent="0.25">
      <c r="A57" s="55"/>
      <c r="B57" s="55"/>
      <c r="C57" s="55"/>
      <c r="D57" s="55"/>
      <c r="E57" s="55"/>
      <c r="F57" s="55"/>
      <c r="G57" s="55"/>
      <c r="H57" s="56"/>
      <c r="I57" s="71"/>
      <c r="J57" s="72"/>
    </row>
    <row r="58" spans="1:13" ht="15" customHeight="1" x14ac:dyDescent="0.2">
      <c r="J58" s="30">
        <f>1-I56</f>
        <v>1</v>
      </c>
    </row>
    <row r="59" spans="1:13" ht="15" customHeight="1" x14ac:dyDescent="0.25">
      <c r="A59" s="65" t="s">
        <v>58</v>
      </c>
      <c r="B59" s="65"/>
      <c r="C59" s="65"/>
      <c r="D59" s="65"/>
      <c r="E59" s="65"/>
      <c r="F59" s="65"/>
      <c r="G59" s="65"/>
      <c r="H59" s="65"/>
      <c r="I59" s="73" t="s">
        <v>70</v>
      </c>
      <c r="J59" s="73"/>
    </row>
    <row r="60" spans="1:13" ht="15" customHeight="1" x14ac:dyDescent="0.2">
      <c r="A60" s="61" t="s">
        <v>48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3" ht="15" customHeight="1" x14ac:dyDescent="0.25">
      <c r="A61" s="68" t="s">
        <v>42</v>
      </c>
      <c r="B61" s="68"/>
      <c r="C61" s="68" t="s">
        <v>43</v>
      </c>
      <c r="D61" s="68"/>
      <c r="E61" s="68" t="s">
        <v>44</v>
      </c>
      <c r="F61" s="68"/>
      <c r="G61" s="68" t="s">
        <v>186</v>
      </c>
      <c r="H61" s="68"/>
      <c r="I61" s="68" t="s">
        <v>41</v>
      </c>
      <c r="J61" s="68"/>
    </row>
    <row r="62" spans="1:13" ht="15" customHeight="1" x14ac:dyDescent="0.2">
      <c r="A62" s="77" t="s">
        <v>68</v>
      </c>
      <c r="B62" s="78"/>
      <c r="C62" s="76">
        <v>200</v>
      </c>
      <c r="D62" s="76"/>
      <c r="E62" s="85">
        <v>1000</v>
      </c>
      <c r="F62" s="78"/>
      <c r="G62" s="63">
        <f>MROUND(950*$I$8,5)</f>
        <v>980</v>
      </c>
      <c r="H62" s="63"/>
      <c r="I62" s="64">
        <f>ROUND(G62*$J$58,0)</f>
        <v>980</v>
      </c>
      <c r="J62" s="64"/>
      <c r="L62" s="22"/>
      <c r="M62" s="22"/>
    </row>
    <row r="63" spans="1:13" ht="15" customHeight="1" x14ac:dyDescent="0.2">
      <c r="A63" s="79"/>
      <c r="B63" s="80"/>
      <c r="C63" s="76">
        <v>250</v>
      </c>
      <c r="D63" s="76"/>
      <c r="E63" s="79"/>
      <c r="F63" s="80"/>
      <c r="G63" s="63">
        <f>MROUND(1045*$I$8,5)</f>
        <v>1075</v>
      </c>
      <c r="H63" s="63"/>
      <c r="I63" s="64">
        <f t="shared" ref="I63:I88" si="6">ROUND(G63*$J$58,0)</f>
        <v>1075</v>
      </c>
      <c r="J63" s="64"/>
      <c r="L63" s="22"/>
      <c r="M63" s="22"/>
    </row>
    <row r="64" spans="1:13" ht="15" customHeight="1" x14ac:dyDescent="0.2">
      <c r="A64" s="79"/>
      <c r="B64" s="80"/>
      <c r="C64" s="76">
        <v>315</v>
      </c>
      <c r="D64" s="76"/>
      <c r="E64" s="79"/>
      <c r="F64" s="80"/>
      <c r="G64" s="63">
        <f>MROUND(1155*$I$8,5)</f>
        <v>1190</v>
      </c>
      <c r="H64" s="63"/>
      <c r="I64" s="64">
        <f t="shared" si="6"/>
        <v>1190</v>
      </c>
      <c r="J64" s="64"/>
      <c r="L64" s="22"/>
      <c r="M64" s="22"/>
    </row>
    <row r="65" spans="1:13" ht="15" customHeight="1" x14ac:dyDescent="0.2">
      <c r="A65" s="79"/>
      <c r="B65" s="80"/>
      <c r="C65" s="76">
        <v>400</v>
      </c>
      <c r="D65" s="76"/>
      <c r="E65" s="79"/>
      <c r="F65" s="80"/>
      <c r="G65" s="63">
        <f>MROUND(1340*$I$8,5)</f>
        <v>1380</v>
      </c>
      <c r="H65" s="63"/>
      <c r="I65" s="64">
        <f t="shared" si="6"/>
        <v>1380</v>
      </c>
      <c r="J65" s="64"/>
      <c r="L65" s="22"/>
      <c r="M65" s="22"/>
    </row>
    <row r="66" spans="1:13" ht="15" customHeight="1" x14ac:dyDescent="0.2">
      <c r="A66" s="79"/>
      <c r="B66" s="80"/>
      <c r="C66" s="76">
        <v>500</v>
      </c>
      <c r="D66" s="76"/>
      <c r="E66" s="79"/>
      <c r="F66" s="80"/>
      <c r="G66" s="63">
        <f>MROUND(1525*$I$8,5)</f>
        <v>1570</v>
      </c>
      <c r="H66" s="63"/>
      <c r="I66" s="64">
        <f t="shared" si="6"/>
        <v>1570</v>
      </c>
      <c r="J66" s="64"/>
      <c r="L66" s="22"/>
      <c r="M66" s="22"/>
    </row>
    <row r="67" spans="1:13" ht="15" customHeight="1" x14ac:dyDescent="0.2">
      <c r="A67" s="79"/>
      <c r="B67" s="80"/>
      <c r="C67" s="76">
        <v>630</v>
      </c>
      <c r="D67" s="76"/>
      <c r="E67" s="79"/>
      <c r="F67" s="80"/>
      <c r="G67" s="63">
        <f>MROUND(1835*$I$8,5)</f>
        <v>1890</v>
      </c>
      <c r="H67" s="63"/>
      <c r="I67" s="64">
        <f t="shared" si="6"/>
        <v>1890</v>
      </c>
      <c r="J67" s="64"/>
      <c r="L67" s="22"/>
      <c r="M67" s="22"/>
    </row>
    <row r="68" spans="1:13" ht="15" customHeight="1" x14ac:dyDescent="0.2">
      <c r="A68" s="79"/>
      <c r="B68" s="80"/>
      <c r="C68" s="76">
        <v>710</v>
      </c>
      <c r="D68" s="76"/>
      <c r="E68" s="79"/>
      <c r="F68" s="80"/>
      <c r="G68" s="63">
        <f>MROUND(2035*$I$8,5)</f>
        <v>2095</v>
      </c>
      <c r="H68" s="63"/>
      <c r="I68" s="64">
        <f t="shared" ref="I68" si="7">ROUND(G68*$J$58,0)</f>
        <v>2095</v>
      </c>
      <c r="J68" s="64"/>
      <c r="L68" s="22"/>
      <c r="M68" s="22"/>
    </row>
    <row r="69" spans="1:13" ht="15" customHeight="1" x14ac:dyDescent="0.2">
      <c r="A69" s="79"/>
      <c r="B69" s="80"/>
      <c r="C69" s="76">
        <v>800</v>
      </c>
      <c r="D69" s="76"/>
      <c r="E69" s="79"/>
      <c r="F69" s="80"/>
      <c r="G69" s="63">
        <f>MROUND(2205*$I$8,5)</f>
        <v>2270</v>
      </c>
      <c r="H69" s="63"/>
      <c r="I69" s="64">
        <f t="shared" si="6"/>
        <v>2270</v>
      </c>
      <c r="J69" s="64"/>
      <c r="L69" s="22"/>
      <c r="M69" s="22"/>
    </row>
    <row r="70" spans="1:13" ht="15" customHeight="1" x14ac:dyDescent="0.2">
      <c r="A70" s="86"/>
      <c r="B70" s="87"/>
      <c r="C70" s="76">
        <v>1000</v>
      </c>
      <c r="D70" s="76"/>
      <c r="E70" s="86"/>
      <c r="F70" s="87"/>
      <c r="G70" s="63">
        <f>MROUND(2620*$I$8,5)</f>
        <v>2700</v>
      </c>
      <c r="H70" s="63"/>
      <c r="I70" s="64">
        <f t="shared" si="6"/>
        <v>2700</v>
      </c>
      <c r="J70" s="64"/>
      <c r="L70" s="22"/>
      <c r="M70" s="22"/>
    </row>
    <row r="71" spans="1:13" ht="15" customHeight="1" x14ac:dyDescent="0.2">
      <c r="A71" s="77" t="s">
        <v>68</v>
      </c>
      <c r="B71" s="78"/>
      <c r="C71" s="76">
        <v>200</v>
      </c>
      <c r="D71" s="76"/>
      <c r="E71" s="85">
        <v>1500</v>
      </c>
      <c r="F71" s="78"/>
      <c r="G71" s="63">
        <f>MROUND(1425*$I$8,5)</f>
        <v>1470</v>
      </c>
      <c r="H71" s="63"/>
      <c r="I71" s="64">
        <f t="shared" si="6"/>
        <v>1470</v>
      </c>
      <c r="J71" s="64"/>
      <c r="L71" s="22"/>
      <c r="M71" s="22"/>
    </row>
    <row r="72" spans="1:13" ht="15" customHeight="1" x14ac:dyDescent="0.2">
      <c r="A72" s="79"/>
      <c r="B72" s="80"/>
      <c r="C72" s="76">
        <v>250</v>
      </c>
      <c r="D72" s="76"/>
      <c r="E72" s="79"/>
      <c r="F72" s="80"/>
      <c r="G72" s="63">
        <f>MROUND(1570*$I$8,5)</f>
        <v>1615</v>
      </c>
      <c r="H72" s="63"/>
      <c r="I72" s="64">
        <f t="shared" si="6"/>
        <v>1615</v>
      </c>
      <c r="J72" s="64"/>
      <c r="L72" s="22"/>
      <c r="M72" s="22"/>
    </row>
    <row r="73" spans="1:13" ht="15" customHeight="1" x14ac:dyDescent="0.2">
      <c r="A73" s="79"/>
      <c r="B73" s="80"/>
      <c r="C73" s="76">
        <v>315</v>
      </c>
      <c r="D73" s="76"/>
      <c r="E73" s="79"/>
      <c r="F73" s="80"/>
      <c r="G73" s="63">
        <f>MROUND(1735*$I$8,5)</f>
        <v>1785</v>
      </c>
      <c r="H73" s="63"/>
      <c r="I73" s="64">
        <f t="shared" si="6"/>
        <v>1785</v>
      </c>
      <c r="J73" s="64"/>
      <c r="L73" s="22"/>
      <c r="M73" s="22"/>
    </row>
    <row r="74" spans="1:13" ht="15" customHeight="1" x14ac:dyDescent="0.2">
      <c r="A74" s="79"/>
      <c r="B74" s="80"/>
      <c r="C74" s="76">
        <v>400</v>
      </c>
      <c r="D74" s="76"/>
      <c r="E74" s="79"/>
      <c r="F74" s="80"/>
      <c r="G74" s="63">
        <f>MROUND(2015*$I$8,5)</f>
        <v>2075</v>
      </c>
      <c r="H74" s="63"/>
      <c r="I74" s="64">
        <f t="shared" si="6"/>
        <v>2075</v>
      </c>
      <c r="J74" s="64"/>
      <c r="L74" s="22"/>
      <c r="M74" s="22"/>
    </row>
    <row r="75" spans="1:13" ht="15" customHeight="1" x14ac:dyDescent="0.2">
      <c r="A75" s="79"/>
      <c r="B75" s="80"/>
      <c r="C75" s="76">
        <v>500</v>
      </c>
      <c r="D75" s="76"/>
      <c r="E75" s="79"/>
      <c r="F75" s="80"/>
      <c r="G75" s="63">
        <f>MROUND(2160*$I$8,5)</f>
        <v>2225</v>
      </c>
      <c r="H75" s="63"/>
      <c r="I75" s="64">
        <f t="shared" si="6"/>
        <v>2225</v>
      </c>
      <c r="J75" s="64"/>
      <c r="L75" s="22"/>
      <c r="M75" s="22"/>
    </row>
    <row r="76" spans="1:13" ht="15" customHeight="1" x14ac:dyDescent="0.2">
      <c r="A76" s="79"/>
      <c r="B76" s="80"/>
      <c r="C76" s="76">
        <v>630</v>
      </c>
      <c r="D76" s="76"/>
      <c r="E76" s="79"/>
      <c r="F76" s="80"/>
      <c r="G76" s="63">
        <f>MROUND(2755*$I$8,5)</f>
        <v>2840</v>
      </c>
      <c r="H76" s="63"/>
      <c r="I76" s="64">
        <f t="shared" si="6"/>
        <v>2840</v>
      </c>
      <c r="J76" s="64"/>
      <c r="L76" s="22"/>
      <c r="M76" s="22"/>
    </row>
    <row r="77" spans="1:13" ht="15" customHeight="1" x14ac:dyDescent="0.2">
      <c r="A77" s="79"/>
      <c r="B77" s="80"/>
      <c r="C77" s="76">
        <v>710</v>
      </c>
      <c r="D77" s="76"/>
      <c r="E77" s="79"/>
      <c r="F77" s="80"/>
      <c r="G77" s="63">
        <f>MROUND(3065*$I$8,5)</f>
        <v>3155</v>
      </c>
      <c r="H77" s="63"/>
      <c r="I77" s="64">
        <f t="shared" ref="I77" si="8">ROUND(G77*$J$58,0)</f>
        <v>3155</v>
      </c>
      <c r="J77" s="64"/>
      <c r="L77" s="22"/>
      <c r="M77" s="22"/>
    </row>
    <row r="78" spans="1:13" ht="15" customHeight="1" x14ac:dyDescent="0.2">
      <c r="A78" s="79"/>
      <c r="B78" s="80"/>
      <c r="C78" s="76">
        <v>800</v>
      </c>
      <c r="D78" s="76"/>
      <c r="E78" s="79"/>
      <c r="F78" s="80"/>
      <c r="G78" s="63">
        <f>MROUND(3310*$I$8,5)</f>
        <v>3410</v>
      </c>
      <c r="H78" s="63"/>
      <c r="I78" s="64">
        <f t="shared" si="6"/>
        <v>3410</v>
      </c>
      <c r="J78" s="64"/>
      <c r="L78" s="22"/>
      <c r="M78" s="22"/>
    </row>
    <row r="79" spans="1:13" ht="15" customHeight="1" x14ac:dyDescent="0.2">
      <c r="A79" s="86"/>
      <c r="B79" s="87"/>
      <c r="C79" s="76">
        <v>1000</v>
      </c>
      <c r="D79" s="76"/>
      <c r="E79" s="86"/>
      <c r="F79" s="87"/>
      <c r="G79" s="63">
        <f>MROUND(3925*$I$8,5)</f>
        <v>4045</v>
      </c>
      <c r="H79" s="63"/>
      <c r="I79" s="64">
        <f t="shared" si="6"/>
        <v>4045</v>
      </c>
      <c r="J79" s="64"/>
      <c r="L79" s="22"/>
      <c r="M79" s="22"/>
    </row>
    <row r="80" spans="1:13" ht="15" customHeight="1" x14ac:dyDescent="0.2">
      <c r="A80" s="77" t="s">
        <v>68</v>
      </c>
      <c r="B80" s="78"/>
      <c r="C80" s="76">
        <v>200</v>
      </c>
      <c r="D80" s="76"/>
      <c r="E80" s="85">
        <v>2000</v>
      </c>
      <c r="F80" s="78"/>
      <c r="G80" s="63">
        <f>MROUND(1905*$I$8,5)</f>
        <v>1960</v>
      </c>
      <c r="H80" s="63"/>
      <c r="I80" s="64">
        <f t="shared" si="6"/>
        <v>1960</v>
      </c>
      <c r="J80" s="64"/>
      <c r="L80" s="22"/>
      <c r="M80" s="22"/>
    </row>
    <row r="81" spans="1:13" ht="15" customHeight="1" x14ac:dyDescent="0.2">
      <c r="A81" s="79"/>
      <c r="B81" s="80"/>
      <c r="C81" s="76">
        <v>250</v>
      </c>
      <c r="D81" s="76"/>
      <c r="E81" s="79"/>
      <c r="F81" s="80"/>
      <c r="G81" s="63">
        <f>MROUND(2090*$I$8,5)</f>
        <v>2155</v>
      </c>
      <c r="H81" s="63"/>
      <c r="I81" s="64">
        <f t="shared" si="6"/>
        <v>2155</v>
      </c>
      <c r="J81" s="64"/>
      <c r="L81" s="22"/>
      <c r="M81" s="22"/>
    </row>
    <row r="82" spans="1:13" ht="15" customHeight="1" x14ac:dyDescent="0.2">
      <c r="A82" s="79"/>
      <c r="B82" s="80"/>
      <c r="C82" s="76">
        <v>315</v>
      </c>
      <c r="D82" s="76"/>
      <c r="E82" s="79"/>
      <c r="F82" s="80"/>
      <c r="G82" s="63">
        <f>MROUND(2310*$I$8,5)</f>
        <v>2380</v>
      </c>
      <c r="H82" s="63"/>
      <c r="I82" s="64">
        <f t="shared" si="6"/>
        <v>2380</v>
      </c>
      <c r="J82" s="64"/>
      <c r="L82" s="22"/>
      <c r="M82" s="22"/>
    </row>
    <row r="83" spans="1:13" ht="15" customHeight="1" x14ac:dyDescent="0.2">
      <c r="A83" s="79"/>
      <c r="B83" s="80"/>
      <c r="C83" s="76">
        <v>400</v>
      </c>
      <c r="D83" s="76"/>
      <c r="E83" s="79"/>
      <c r="F83" s="80"/>
      <c r="G83" s="63">
        <f>MROUND(2685*$I$8,5)</f>
        <v>2765</v>
      </c>
      <c r="H83" s="63"/>
      <c r="I83" s="64">
        <f t="shared" si="6"/>
        <v>2765</v>
      </c>
      <c r="J83" s="64"/>
      <c r="L83" s="22"/>
      <c r="M83" s="22"/>
    </row>
    <row r="84" spans="1:13" ht="15" customHeight="1" x14ac:dyDescent="0.2">
      <c r="A84" s="79"/>
      <c r="B84" s="80"/>
      <c r="C84" s="76">
        <v>500</v>
      </c>
      <c r="D84" s="76"/>
      <c r="E84" s="79"/>
      <c r="F84" s="80"/>
      <c r="G84" s="63">
        <f>MROUND(3045*$I$8,5)</f>
        <v>3135</v>
      </c>
      <c r="H84" s="63"/>
      <c r="I84" s="64">
        <f t="shared" si="6"/>
        <v>3135</v>
      </c>
      <c r="J84" s="64"/>
      <c r="L84" s="22"/>
      <c r="M84" s="22"/>
    </row>
    <row r="85" spans="1:13" ht="15" customHeight="1" x14ac:dyDescent="0.2">
      <c r="A85" s="79"/>
      <c r="B85" s="80"/>
      <c r="C85" s="76">
        <v>630</v>
      </c>
      <c r="D85" s="76"/>
      <c r="E85" s="79"/>
      <c r="F85" s="80"/>
      <c r="G85" s="63">
        <f>MROUND(3675*$I$8,5)</f>
        <v>3785</v>
      </c>
      <c r="H85" s="63"/>
      <c r="I85" s="64">
        <f t="shared" si="6"/>
        <v>3785</v>
      </c>
      <c r="J85" s="64"/>
      <c r="L85" s="22"/>
      <c r="M85" s="22"/>
    </row>
    <row r="86" spans="1:13" ht="15" customHeight="1" x14ac:dyDescent="0.2">
      <c r="A86" s="79"/>
      <c r="B86" s="80"/>
      <c r="C86" s="76">
        <v>710</v>
      </c>
      <c r="D86" s="76"/>
      <c r="E86" s="79"/>
      <c r="F86" s="80"/>
      <c r="G86" s="63">
        <f>MROUND(4065*$I$8,5)</f>
        <v>4185</v>
      </c>
      <c r="H86" s="63"/>
      <c r="I86" s="64">
        <f t="shared" ref="I86" si="9">ROUND(G86*$J$58,0)</f>
        <v>4185</v>
      </c>
      <c r="J86" s="64"/>
      <c r="L86" s="22"/>
      <c r="M86" s="22"/>
    </row>
    <row r="87" spans="1:13" ht="15" customHeight="1" x14ac:dyDescent="0.2">
      <c r="A87" s="79"/>
      <c r="B87" s="80"/>
      <c r="C87" s="76">
        <v>800</v>
      </c>
      <c r="D87" s="76"/>
      <c r="E87" s="79"/>
      <c r="F87" s="80"/>
      <c r="G87" s="63">
        <f>MROUND(4410*$I$8,5)</f>
        <v>4540</v>
      </c>
      <c r="H87" s="63"/>
      <c r="I87" s="64">
        <f t="shared" si="6"/>
        <v>4540</v>
      </c>
      <c r="J87" s="64"/>
      <c r="L87" s="22"/>
      <c r="M87" s="22"/>
    </row>
    <row r="88" spans="1:13" ht="15" customHeight="1" x14ac:dyDescent="0.2">
      <c r="A88" s="86"/>
      <c r="B88" s="87"/>
      <c r="C88" s="76">
        <v>1000</v>
      </c>
      <c r="D88" s="76"/>
      <c r="E88" s="86"/>
      <c r="F88" s="87"/>
      <c r="G88" s="63">
        <f>MROUND(5235*$I$8,5)</f>
        <v>5390</v>
      </c>
      <c r="H88" s="63"/>
      <c r="I88" s="64">
        <f t="shared" si="6"/>
        <v>5390</v>
      </c>
      <c r="J88" s="64"/>
      <c r="L88" s="22"/>
      <c r="M88" s="22"/>
    </row>
    <row r="89" spans="1:13" ht="15" customHeight="1" x14ac:dyDescent="0.2">
      <c r="A89" s="5"/>
      <c r="B89" s="5"/>
      <c r="C89" s="5"/>
      <c r="D89" s="5"/>
      <c r="E89" s="5"/>
      <c r="F89" s="5"/>
      <c r="G89" s="6"/>
      <c r="H89" s="6"/>
      <c r="I89" s="7"/>
      <c r="J89" s="7"/>
    </row>
    <row r="90" spans="1:13" ht="15" customHeight="1" x14ac:dyDescent="0.25">
      <c r="A90" s="65" t="s">
        <v>63</v>
      </c>
      <c r="B90" s="65"/>
      <c r="C90" s="65"/>
      <c r="D90" s="65"/>
      <c r="E90" s="65"/>
      <c r="F90" s="65"/>
      <c r="G90" s="65"/>
      <c r="H90" s="65"/>
      <c r="I90" s="8">
        <v>25</v>
      </c>
      <c r="J90" s="8">
        <v>100</v>
      </c>
    </row>
    <row r="91" spans="1:13" ht="15" customHeight="1" x14ac:dyDescent="0.2">
      <c r="A91" s="61" t="s">
        <v>53</v>
      </c>
      <c r="B91" s="61"/>
      <c r="C91" s="61"/>
      <c r="D91" s="61"/>
      <c r="E91" s="61"/>
      <c r="F91" s="61"/>
      <c r="G91" s="61"/>
      <c r="H91" s="61"/>
      <c r="I91" s="61"/>
      <c r="J91" s="61"/>
    </row>
    <row r="92" spans="1:13" ht="15" customHeight="1" x14ac:dyDescent="0.2">
      <c r="A92" s="83" t="s">
        <v>45</v>
      </c>
      <c r="B92" s="84"/>
      <c r="C92" s="9">
        <v>200</v>
      </c>
      <c r="D92" s="9">
        <v>250</v>
      </c>
      <c r="E92" s="9">
        <v>315</v>
      </c>
      <c r="F92" s="9">
        <v>400</v>
      </c>
      <c r="G92" s="9">
        <v>500</v>
      </c>
      <c r="H92" s="9">
        <v>630</v>
      </c>
      <c r="I92" s="9">
        <v>800</v>
      </c>
      <c r="J92" s="9">
        <v>1000</v>
      </c>
    </row>
    <row r="93" spans="1:13" ht="15" customHeight="1" x14ac:dyDescent="0.2">
      <c r="A93" s="74" t="s">
        <v>181</v>
      </c>
      <c r="B93" s="75"/>
      <c r="C93" s="26">
        <f>MROUND(210*$I$8*$J$58,5)</f>
        <v>215</v>
      </c>
      <c r="D93" s="26">
        <f>MROUND(215*$I$8*$J$58,5)</f>
        <v>220</v>
      </c>
      <c r="E93" s="26">
        <f>MROUND(225*$I$8*$J$58,5)</f>
        <v>230</v>
      </c>
      <c r="F93" s="26">
        <f>MROUND(240*$I$8*$J$58,5)</f>
        <v>245</v>
      </c>
      <c r="G93" s="26">
        <f>MROUND(260*$I$8*$J$58,5)</f>
        <v>270</v>
      </c>
      <c r="H93" s="26">
        <f>MROUND(285*$I$8*$J$58,5)</f>
        <v>295</v>
      </c>
      <c r="I93" s="26">
        <f>MROUND(315*$I$8*$J$58,5)</f>
        <v>325</v>
      </c>
      <c r="J93" s="26">
        <f>MROUND(345*$I$8*$J$58,5)</f>
        <v>355</v>
      </c>
    </row>
    <row r="94" spans="1:13" ht="15" customHeight="1" x14ac:dyDescent="0.2">
      <c r="A94" s="74" t="s">
        <v>182</v>
      </c>
      <c r="B94" s="75"/>
      <c r="C94" s="26">
        <f>MROUND(190*$I$8*$J$58,5)</f>
        <v>195</v>
      </c>
      <c r="D94" s="26">
        <f>MROUND(200*$I$8*$J$58,5)</f>
        <v>205</v>
      </c>
      <c r="E94" s="26">
        <f>MROUND(210*$I$8*$J$58,5)</f>
        <v>215</v>
      </c>
      <c r="F94" s="26">
        <f>MROUND(225*$I$8*$J$58,5)</f>
        <v>230</v>
      </c>
      <c r="G94" s="26">
        <f>MROUND(240*$I$8*$J$58,5)</f>
        <v>245</v>
      </c>
      <c r="H94" s="26">
        <f>MROUND(255*$I$8*$J$58,5)</f>
        <v>265</v>
      </c>
      <c r="I94" s="26">
        <f>MROUND(280*$I$8*$J$58,5)</f>
        <v>290</v>
      </c>
      <c r="J94" s="26">
        <f>MROUND(300*$I$8*$J$58,5)</f>
        <v>310</v>
      </c>
    </row>
    <row r="95" spans="1:13" ht="15" customHeight="1" x14ac:dyDescent="0.2">
      <c r="A95" s="74" t="s">
        <v>183</v>
      </c>
      <c r="B95" s="75"/>
      <c r="C95" s="26">
        <f>C93+C94</f>
        <v>410</v>
      </c>
      <c r="D95" s="26">
        <f t="shared" ref="D95:J95" si="10">D93+D94</f>
        <v>425</v>
      </c>
      <c r="E95" s="26">
        <f t="shared" si="10"/>
        <v>445</v>
      </c>
      <c r="F95" s="26">
        <f t="shared" si="10"/>
        <v>475</v>
      </c>
      <c r="G95" s="26">
        <f t="shared" si="10"/>
        <v>515</v>
      </c>
      <c r="H95" s="26">
        <f t="shared" si="10"/>
        <v>560</v>
      </c>
      <c r="I95" s="26">
        <f t="shared" si="10"/>
        <v>615</v>
      </c>
      <c r="J95" s="26">
        <f t="shared" si="10"/>
        <v>665</v>
      </c>
    </row>
    <row r="96" spans="1:13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168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169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4" t="s">
        <v>2</v>
      </c>
      <c r="J105" s="54"/>
    </row>
    <row r="106" spans="1:13" ht="15" customHeight="1" x14ac:dyDescent="0.2">
      <c r="A106" s="55" t="s">
        <v>65</v>
      </c>
      <c r="B106" s="55"/>
      <c r="C106" s="55"/>
      <c r="D106" s="55"/>
      <c r="E106" s="55"/>
      <c r="F106" s="55"/>
      <c r="G106" s="55"/>
      <c r="H106" s="56"/>
      <c r="I106" s="69">
        <f>I6</f>
        <v>0</v>
      </c>
      <c r="J106" s="70"/>
    </row>
    <row r="107" spans="1:13" ht="15" customHeight="1" thickBot="1" x14ac:dyDescent="0.25">
      <c r="A107" s="55"/>
      <c r="B107" s="55"/>
      <c r="C107" s="55"/>
      <c r="D107" s="55"/>
      <c r="E107" s="55"/>
      <c r="F107" s="55"/>
      <c r="G107" s="55"/>
      <c r="H107" s="56"/>
      <c r="I107" s="71"/>
      <c r="J107" s="72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5" t="s">
        <v>58</v>
      </c>
      <c r="B109" s="65"/>
      <c r="C109" s="65"/>
      <c r="D109" s="65"/>
      <c r="E109" s="65"/>
      <c r="F109" s="65"/>
      <c r="G109" s="65"/>
      <c r="H109" s="65"/>
      <c r="I109" s="73" t="s">
        <v>70</v>
      </c>
      <c r="J109" s="73"/>
    </row>
    <row r="110" spans="1:13" ht="15" customHeight="1" x14ac:dyDescent="0.2">
      <c r="A110" s="61" t="s">
        <v>48</v>
      </c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3" ht="15" customHeight="1" x14ac:dyDescent="0.25">
      <c r="A111" s="68" t="s">
        <v>42</v>
      </c>
      <c r="B111" s="68"/>
      <c r="C111" s="68" t="s">
        <v>43</v>
      </c>
      <c r="D111" s="68"/>
      <c r="E111" s="68" t="s">
        <v>44</v>
      </c>
      <c r="F111" s="68"/>
      <c r="G111" s="68" t="s">
        <v>186</v>
      </c>
      <c r="H111" s="68"/>
      <c r="I111" s="68" t="s">
        <v>41</v>
      </c>
      <c r="J111" s="68"/>
    </row>
    <row r="112" spans="1:13" ht="15" customHeight="1" x14ac:dyDescent="0.2">
      <c r="A112" s="77" t="s">
        <v>67</v>
      </c>
      <c r="B112" s="78"/>
      <c r="C112" s="76">
        <v>315</v>
      </c>
      <c r="D112" s="76"/>
      <c r="E112" s="79"/>
      <c r="F112" s="80"/>
      <c r="G112" s="63">
        <f>MROUND(1375*$I$8,5)</f>
        <v>1415</v>
      </c>
      <c r="H112" s="63"/>
      <c r="I112" s="64">
        <f t="shared" ref="I112:I132" si="11">ROUND(G112*$J$108,0)</f>
        <v>1415</v>
      </c>
      <c r="J112" s="64"/>
      <c r="L112" s="22"/>
      <c r="M112" s="22"/>
    </row>
    <row r="113" spans="1:13" ht="15" customHeight="1" x14ac:dyDescent="0.2">
      <c r="A113" s="79"/>
      <c r="B113" s="80"/>
      <c r="C113" s="76">
        <v>400</v>
      </c>
      <c r="D113" s="76"/>
      <c r="E113" s="79"/>
      <c r="F113" s="80"/>
      <c r="G113" s="63">
        <f>MROUND(1575*$I$8,5)</f>
        <v>1620</v>
      </c>
      <c r="H113" s="63"/>
      <c r="I113" s="64">
        <f t="shared" si="11"/>
        <v>1620</v>
      </c>
      <c r="J113" s="64"/>
      <c r="L113" s="22"/>
      <c r="M113" s="22"/>
    </row>
    <row r="114" spans="1:13" ht="15" customHeight="1" x14ac:dyDescent="0.2">
      <c r="A114" s="79"/>
      <c r="B114" s="80"/>
      <c r="C114" s="76">
        <v>500</v>
      </c>
      <c r="D114" s="76"/>
      <c r="E114" s="79"/>
      <c r="F114" s="80"/>
      <c r="G114" s="63">
        <f>MROUND(1790*$I$8,5)</f>
        <v>1845</v>
      </c>
      <c r="H114" s="63"/>
      <c r="I114" s="64">
        <f t="shared" si="11"/>
        <v>1845</v>
      </c>
      <c r="J114" s="64"/>
      <c r="L114" s="22"/>
      <c r="M114" s="22"/>
    </row>
    <row r="115" spans="1:13" ht="15" customHeight="1" x14ac:dyDescent="0.2">
      <c r="A115" s="79"/>
      <c r="B115" s="80"/>
      <c r="C115" s="76">
        <v>630</v>
      </c>
      <c r="D115" s="76"/>
      <c r="E115" s="79"/>
      <c r="F115" s="80"/>
      <c r="G115" s="63">
        <f>MROUND(2125*$I$8,5)</f>
        <v>2190</v>
      </c>
      <c r="H115" s="63"/>
      <c r="I115" s="64">
        <f t="shared" si="11"/>
        <v>2190</v>
      </c>
      <c r="J115" s="64"/>
      <c r="L115" s="22"/>
      <c r="M115" s="22"/>
    </row>
    <row r="116" spans="1:13" ht="15" customHeight="1" x14ac:dyDescent="0.2">
      <c r="A116" s="79"/>
      <c r="B116" s="80"/>
      <c r="C116" s="76">
        <v>710</v>
      </c>
      <c r="D116" s="76"/>
      <c r="E116" s="79"/>
      <c r="F116" s="80"/>
      <c r="G116" s="63">
        <f>MROUND(2255*$I$8,5)</f>
        <v>2325</v>
      </c>
      <c r="H116" s="63"/>
      <c r="I116" s="64">
        <f t="shared" ref="I116" si="12">ROUND(G116*$J$108,0)</f>
        <v>2325</v>
      </c>
      <c r="J116" s="64"/>
      <c r="L116" s="22"/>
      <c r="M116" s="22"/>
    </row>
    <row r="117" spans="1:13" ht="15" customHeight="1" x14ac:dyDescent="0.2">
      <c r="A117" s="79"/>
      <c r="B117" s="80"/>
      <c r="C117" s="76">
        <v>800</v>
      </c>
      <c r="D117" s="76"/>
      <c r="E117" s="79"/>
      <c r="F117" s="80"/>
      <c r="G117" s="63">
        <f>MROUND(2525*$I$8,5)</f>
        <v>2600</v>
      </c>
      <c r="H117" s="63"/>
      <c r="I117" s="64">
        <f t="shared" si="11"/>
        <v>2600</v>
      </c>
      <c r="J117" s="64"/>
      <c r="L117" s="22"/>
      <c r="M117" s="22"/>
    </row>
    <row r="118" spans="1:13" ht="15" customHeight="1" x14ac:dyDescent="0.2">
      <c r="A118" s="79"/>
      <c r="B118" s="80"/>
      <c r="C118" s="76">
        <v>1000</v>
      </c>
      <c r="D118" s="76"/>
      <c r="E118" s="86"/>
      <c r="F118" s="87"/>
      <c r="G118" s="63">
        <f>MROUND(3005*$I$8,5)</f>
        <v>3095</v>
      </c>
      <c r="H118" s="63"/>
      <c r="I118" s="64">
        <f t="shared" si="11"/>
        <v>3095</v>
      </c>
      <c r="J118" s="64"/>
      <c r="L118" s="22"/>
      <c r="M118" s="22"/>
    </row>
    <row r="119" spans="1:13" ht="15" customHeight="1" x14ac:dyDescent="0.2">
      <c r="A119" s="77" t="s">
        <v>67</v>
      </c>
      <c r="B119" s="78"/>
      <c r="C119" s="76">
        <v>315</v>
      </c>
      <c r="D119" s="76"/>
      <c r="E119" s="79"/>
      <c r="F119" s="80"/>
      <c r="G119" s="63">
        <f>MROUND(2065*$I$8,5)</f>
        <v>2125</v>
      </c>
      <c r="H119" s="63"/>
      <c r="I119" s="64">
        <f t="shared" si="11"/>
        <v>2125</v>
      </c>
      <c r="J119" s="64"/>
      <c r="L119" s="22"/>
      <c r="M119" s="22"/>
    </row>
    <row r="120" spans="1:13" ht="15" customHeight="1" x14ac:dyDescent="0.2">
      <c r="A120" s="79"/>
      <c r="B120" s="80"/>
      <c r="C120" s="76">
        <v>400</v>
      </c>
      <c r="D120" s="76"/>
      <c r="E120" s="79"/>
      <c r="F120" s="80"/>
      <c r="G120" s="63">
        <f>MROUND(2360*$I$8,5)</f>
        <v>2430</v>
      </c>
      <c r="H120" s="63"/>
      <c r="I120" s="64">
        <f t="shared" si="11"/>
        <v>2430</v>
      </c>
      <c r="J120" s="64"/>
      <c r="L120" s="22"/>
      <c r="M120" s="22"/>
    </row>
    <row r="121" spans="1:13" ht="15" customHeight="1" x14ac:dyDescent="0.2">
      <c r="A121" s="79"/>
      <c r="B121" s="80"/>
      <c r="C121" s="76">
        <v>500</v>
      </c>
      <c r="D121" s="76"/>
      <c r="E121" s="79"/>
      <c r="F121" s="80"/>
      <c r="G121" s="63">
        <f>MROUND(2685*$I$8,5)</f>
        <v>2765</v>
      </c>
      <c r="H121" s="63"/>
      <c r="I121" s="64">
        <f t="shared" si="11"/>
        <v>2765</v>
      </c>
      <c r="J121" s="64"/>
      <c r="L121" s="22"/>
      <c r="M121" s="22"/>
    </row>
    <row r="122" spans="1:13" ht="15" customHeight="1" x14ac:dyDescent="0.2">
      <c r="A122" s="79"/>
      <c r="B122" s="80"/>
      <c r="C122" s="76">
        <v>630</v>
      </c>
      <c r="D122" s="76"/>
      <c r="E122" s="79"/>
      <c r="F122" s="80"/>
      <c r="G122" s="63">
        <f>MROUND(3130*$I$8,5)</f>
        <v>3225</v>
      </c>
      <c r="H122" s="63"/>
      <c r="I122" s="64">
        <f t="shared" si="11"/>
        <v>3225</v>
      </c>
      <c r="J122" s="64"/>
      <c r="L122" s="22"/>
      <c r="M122" s="22"/>
    </row>
    <row r="123" spans="1:13" ht="15" customHeight="1" x14ac:dyDescent="0.2">
      <c r="A123" s="79"/>
      <c r="B123" s="80"/>
      <c r="C123" s="76">
        <v>710</v>
      </c>
      <c r="D123" s="76"/>
      <c r="E123" s="79"/>
      <c r="F123" s="80"/>
      <c r="G123" s="63">
        <f>MROUND(3560*$I$8,5)</f>
        <v>3665</v>
      </c>
      <c r="H123" s="63"/>
      <c r="I123" s="64">
        <f t="shared" ref="I123" si="13">ROUND(G123*$J$108,0)</f>
        <v>3665</v>
      </c>
      <c r="J123" s="64"/>
      <c r="L123" s="22"/>
      <c r="M123" s="22"/>
    </row>
    <row r="124" spans="1:13" ht="15" customHeight="1" x14ac:dyDescent="0.2">
      <c r="A124" s="79"/>
      <c r="B124" s="80"/>
      <c r="C124" s="76">
        <v>800</v>
      </c>
      <c r="D124" s="76"/>
      <c r="E124" s="79"/>
      <c r="F124" s="80"/>
      <c r="G124" s="63">
        <f>MROUND(3950*$I$8,5)</f>
        <v>4070</v>
      </c>
      <c r="H124" s="63"/>
      <c r="I124" s="64">
        <f t="shared" si="11"/>
        <v>4070</v>
      </c>
      <c r="J124" s="64"/>
      <c r="L124" s="22"/>
      <c r="M124" s="22"/>
    </row>
    <row r="125" spans="1:13" ht="15" customHeight="1" x14ac:dyDescent="0.2">
      <c r="A125" s="79"/>
      <c r="B125" s="80"/>
      <c r="C125" s="76">
        <v>1000</v>
      </c>
      <c r="D125" s="76"/>
      <c r="E125" s="86"/>
      <c r="F125" s="87"/>
      <c r="G125" s="63">
        <f>MROUND(4505*$I$8,5)</f>
        <v>4640</v>
      </c>
      <c r="H125" s="63"/>
      <c r="I125" s="64">
        <f t="shared" si="11"/>
        <v>4640</v>
      </c>
      <c r="J125" s="64"/>
      <c r="L125" s="22"/>
      <c r="M125" s="22"/>
    </row>
    <row r="126" spans="1:13" ht="15" customHeight="1" x14ac:dyDescent="0.2">
      <c r="A126" s="81" t="s">
        <v>67</v>
      </c>
      <c r="B126" s="82"/>
      <c r="C126" s="76">
        <v>315</v>
      </c>
      <c r="D126" s="76"/>
      <c r="E126" s="79"/>
      <c r="F126" s="80"/>
      <c r="G126" s="63">
        <f>MROUND(2750*$I$8,5)</f>
        <v>2835</v>
      </c>
      <c r="H126" s="63"/>
      <c r="I126" s="64">
        <f t="shared" si="11"/>
        <v>2835</v>
      </c>
      <c r="J126" s="64"/>
      <c r="L126" s="22"/>
      <c r="M126" s="22"/>
    </row>
    <row r="127" spans="1:13" ht="15" customHeight="1" x14ac:dyDescent="0.2">
      <c r="A127" s="82"/>
      <c r="B127" s="82"/>
      <c r="C127" s="76">
        <v>400</v>
      </c>
      <c r="D127" s="76"/>
      <c r="E127" s="79"/>
      <c r="F127" s="80"/>
      <c r="G127" s="63">
        <f>MROUND(3145*$I$8,5)</f>
        <v>3240</v>
      </c>
      <c r="H127" s="63"/>
      <c r="I127" s="64">
        <f t="shared" si="11"/>
        <v>3240</v>
      </c>
      <c r="J127" s="64"/>
      <c r="L127" s="22"/>
      <c r="M127" s="22"/>
    </row>
    <row r="128" spans="1:13" ht="15" customHeight="1" x14ac:dyDescent="0.2">
      <c r="A128" s="82"/>
      <c r="B128" s="82"/>
      <c r="C128" s="76">
        <v>500</v>
      </c>
      <c r="D128" s="76"/>
      <c r="E128" s="79"/>
      <c r="F128" s="80"/>
      <c r="G128" s="63">
        <f>MROUND(3575*$I$8,5)</f>
        <v>3680</v>
      </c>
      <c r="H128" s="63"/>
      <c r="I128" s="64">
        <f t="shared" si="11"/>
        <v>3680</v>
      </c>
      <c r="J128" s="64"/>
      <c r="L128" s="22"/>
      <c r="M128" s="22"/>
    </row>
    <row r="129" spans="1:13" ht="15" customHeight="1" x14ac:dyDescent="0.2">
      <c r="A129" s="82"/>
      <c r="B129" s="82"/>
      <c r="C129" s="76">
        <v>630</v>
      </c>
      <c r="D129" s="76"/>
      <c r="E129" s="79"/>
      <c r="F129" s="80"/>
      <c r="G129" s="63">
        <f>MROUND(4245*$I$8,5)</f>
        <v>4370</v>
      </c>
      <c r="H129" s="63"/>
      <c r="I129" s="64">
        <f t="shared" si="11"/>
        <v>4370</v>
      </c>
      <c r="J129" s="64"/>
      <c r="L129" s="22"/>
      <c r="M129" s="22"/>
    </row>
    <row r="130" spans="1:13" ht="15" customHeight="1" x14ac:dyDescent="0.2">
      <c r="A130" s="82"/>
      <c r="B130" s="82"/>
      <c r="C130" s="76">
        <v>710</v>
      </c>
      <c r="D130" s="76"/>
      <c r="E130" s="79"/>
      <c r="F130" s="80"/>
      <c r="G130" s="63">
        <f>MROUND(4665*$I$8,5)</f>
        <v>4805</v>
      </c>
      <c r="H130" s="63"/>
      <c r="I130" s="64">
        <f t="shared" ref="I130" si="14">ROUND(G130*$J$108,0)</f>
        <v>4805</v>
      </c>
      <c r="J130" s="64"/>
      <c r="L130" s="22"/>
      <c r="M130" s="22"/>
    </row>
    <row r="131" spans="1:13" ht="15" customHeight="1" x14ac:dyDescent="0.2">
      <c r="A131" s="82"/>
      <c r="B131" s="82"/>
      <c r="C131" s="76">
        <v>800</v>
      </c>
      <c r="D131" s="76"/>
      <c r="E131" s="79"/>
      <c r="F131" s="80"/>
      <c r="G131" s="63">
        <f>MROUND(5050*$I$8,5)</f>
        <v>5200</v>
      </c>
      <c r="H131" s="63"/>
      <c r="I131" s="64">
        <f t="shared" si="11"/>
        <v>5200</v>
      </c>
      <c r="J131" s="64"/>
      <c r="L131" s="22"/>
      <c r="M131" s="22"/>
    </row>
    <row r="132" spans="1:13" ht="15" customHeight="1" x14ac:dyDescent="0.2">
      <c r="A132" s="82"/>
      <c r="B132" s="82"/>
      <c r="C132" s="76">
        <v>1000</v>
      </c>
      <c r="D132" s="76"/>
      <c r="E132" s="86"/>
      <c r="F132" s="87"/>
      <c r="G132" s="63">
        <f>MROUND(6005*$I$8,5)</f>
        <v>6185</v>
      </c>
      <c r="H132" s="63"/>
      <c r="I132" s="64">
        <f t="shared" si="11"/>
        <v>6185</v>
      </c>
      <c r="J132" s="64"/>
      <c r="L132" s="22"/>
      <c r="M132" s="22"/>
    </row>
    <row r="133" spans="1:13" ht="15" customHeight="1" x14ac:dyDescent="0.2">
      <c r="A133" s="12"/>
      <c r="B133" s="12"/>
      <c r="C133" s="13"/>
      <c r="D133" s="13"/>
      <c r="E133" s="12"/>
      <c r="F133" s="12"/>
      <c r="G133" s="6"/>
      <c r="H133" s="6"/>
      <c r="I133" s="7"/>
      <c r="J133" s="7"/>
    </row>
    <row r="134" spans="1:13" ht="15" customHeight="1" x14ac:dyDescent="0.2">
      <c r="A134" s="12"/>
      <c r="B134" s="12"/>
      <c r="C134" s="13"/>
      <c r="D134" s="13"/>
      <c r="E134" s="12"/>
      <c r="F134" s="12"/>
      <c r="G134" s="6"/>
      <c r="H134" s="6"/>
      <c r="I134" s="7"/>
      <c r="J134" s="7"/>
    </row>
    <row r="135" spans="1:13" ht="15" customHeight="1" x14ac:dyDescent="0.2">
      <c r="A135" s="12"/>
      <c r="B135" s="12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12"/>
      <c r="B136" s="12"/>
      <c r="C136" s="13"/>
      <c r="D136" s="13"/>
      <c r="E136" s="12"/>
      <c r="F136" s="12"/>
      <c r="G136" s="6"/>
      <c r="H136" s="6"/>
      <c r="I136" s="7"/>
      <c r="J136" s="7"/>
    </row>
    <row r="137" spans="1:13" ht="15" customHeight="1" x14ac:dyDescent="0.2">
      <c r="A137" s="12"/>
      <c r="B137" s="12"/>
      <c r="C137" s="13"/>
      <c r="D137" s="13"/>
      <c r="E137" s="12"/>
      <c r="F137" s="12"/>
      <c r="G137" s="6"/>
      <c r="H137" s="6"/>
      <c r="I137" s="7"/>
      <c r="J137" s="7"/>
    </row>
    <row r="138" spans="1:13" ht="15" customHeight="1" x14ac:dyDescent="0.2">
      <c r="A138" s="12"/>
      <c r="B138" s="12"/>
      <c r="C138" s="13"/>
      <c r="D138" s="13"/>
      <c r="E138" s="12"/>
      <c r="F138" s="12"/>
      <c r="G138" s="6"/>
      <c r="H138" s="6"/>
      <c r="I138" s="7"/>
      <c r="J138" s="7"/>
    </row>
    <row r="139" spans="1:13" ht="15" customHeight="1" x14ac:dyDescent="0.2">
      <c r="A139" s="5"/>
      <c r="B139" s="5"/>
      <c r="C139" s="5"/>
      <c r="D139" s="5"/>
      <c r="E139" s="5"/>
      <c r="F139" s="5"/>
      <c r="G139" s="6"/>
      <c r="H139" s="6"/>
      <c r="I139" s="7"/>
      <c r="J139" s="7"/>
    </row>
    <row r="140" spans="1:13" ht="15" customHeight="1" x14ac:dyDescent="0.25">
      <c r="A140" s="65" t="s">
        <v>66</v>
      </c>
      <c r="B140" s="65"/>
      <c r="C140" s="65"/>
      <c r="D140" s="65"/>
      <c r="E140" s="65"/>
      <c r="F140" s="65"/>
      <c r="G140" s="65"/>
      <c r="H140" s="65"/>
      <c r="I140" s="8">
        <v>25</v>
      </c>
      <c r="J140" s="8">
        <v>100</v>
      </c>
    </row>
    <row r="141" spans="1:13" ht="15" customHeight="1" x14ac:dyDescent="0.2">
      <c r="A141" s="61" t="s">
        <v>53</v>
      </c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3" ht="15" customHeight="1" x14ac:dyDescent="0.2">
      <c r="A142" s="83" t="s">
        <v>45</v>
      </c>
      <c r="B142" s="84"/>
      <c r="C142" s="9">
        <v>200</v>
      </c>
      <c r="D142" s="9">
        <v>250</v>
      </c>
      <c r="E142" s="9">
        <v>315</v>
      </c>
      <c r="F142" s="9">
        <v>400</v>
      </c>
      <c r="G142" s="9">
        <v>500</v>
      </c>
      <c r="H142" s="9">
        <v>630</v>
      </c>
      <c r="I142" s="9">
        <v>800</v>
      </c>
      <c r="J142" s="9">
        <v>1000</v>
      </c>
    </row>
    <row r="143" spans="1:13" ht="15" customHeight="1" x14ac:dyDescent="0.2">
      <c r="A143" s="74" t="s">
        <v>181</v>
      </c>
      <c r="B143" s="75"/>
      <c r="C143" s="26">
        <f>MROUND(225*$I$8*$J$108,5)</f>
        <v>230</v>
      </c>
      <c r="D143" s="26">
        <f>MROUND(240*$I$8*$J$108,5)</f>
        <v>245</v>
      </c>
      <c r="E143" s="26">
        <f>MROUND(255*$I$8*$J$108,5)</f>
        <v>265</v>
      </c>
      <c r="F143" s="26">
        <f>MROUND(275*$I$8*$J$108,5)</f>
        <v>285</v>
      </c>
      <c r="G143" s="26">
        <f>MROUND(300*$I$8*$J$108,5)</f>
        <v>310</v>
      </c>
      <c r="H143" s="26">
        <f>MROUND(340*$I$8*$J$108,5)</f>
        <v>350</v>
      </c>
      <c r="I143" s="26">
        <f>MROUND(375*$I$8*$J$108,5)</f>
        <v>385</v>
      </c>
      <c r="J143" s="26">
        <f>MROUND(430*$I$8*$J$108,5)</f>
        <v>445</v>
      </c>
    </row>
    <row r="144" spans="1:13" ht="15" customHeight="1" x14ac:dyDescent="0.2">
      <c r="A144" s="74" t="s">
        <v>182</v>
      </c>
      <c r="B144" s="75"/>
      <c r="C144" s="26">
        <f>MROUND(210*$I$8*$J$108,5)</f>
        <v>215</v>
      </c>
      <c r="D144" s="26">
        <f>MROUND(215*$I$8*$J$108,5)</f>
        <v>220</v>
      </c>
      <c r="E144" s="26">
        <f>MROUND(230*$I$8*$J$108,5)</f>
        <v>235</v>
      </c>
      <c r="F144" s="26">
        <f>MROUND(245*$I$8*$J$108,5)</f>
        <v>250</v>
      </c>
      <c r="G144" s="26">
        <f>MROUND(260*$I$8*$J$108,5)</f>
        <v>270</v>
      </c>
      <c r="H144" s="26">
        <f>MROUND(290*$I$8*$J$108,5)</f>
        <v>300</v>
      </c>
      <c r="I144" s="26">
        <f>MROUND(325*$I$8*$J$108,5)</f>
        <v>335</v>
      </c>
      <c r="J144" s="26">
        <f>MROUND(360*$I$8*$J$108,5)</f>
        <v>370</v>
      </c>
    </row>
    <row r="145" spans="1:10" ht="15" customHeight="1" x14ac:dyDescent="0.2">
      <c r="A145" s="74" t="s">
        <v>183</v>
      </c>
      <c r="B145" s="75"/>
      <c r="C145" s="26">
        <f>C143+C144</f>
        <v>445</v>
      </c>
      <c r="D145" s="26">
        <f t="shared" ref="D145:J145" si="15">D143+D144</f>
        <v>465</v>
      </c>
      <c r="E145" s="26">
        <f t="shared" si="15"/>
        <v>500</v>
      </c>
      <c r="F145" s="26">
        <f t="shared" si="15"/>
        <v>535</v>
      </c>
      <c r="G145" s="26">
        <f t="shared" si="15"/>
        <v>580</v>
      </c>
      <c r="H145" s="26">
        <f t="shared" si="15"/>
        <v>650</v>
      </c>
      <c r="I145" s="26">
        <f t="shared" si="15"/>
        <v>720</v>
      </c>
      <c r="J145" s="26">
        <f t="shared" si="15"/>
        <v>815</v>
      </c>
    </row>
    <row r="146" spans="1:10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168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169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94">
    <mergeCell ref="I5:J5"/>
    <mergeCell ref="A6:H7"/>
    <mergeCell ref="I6:J7"/>
    <mergeCell ref="A9:H9"/>
    <mergeCell ref="I9:J9"/>
    <mergeCell ref="A10:J10"/>
    <mergeCell ref="A11:B11"/>
    <mergeCell ref="C11:D11"/>
    <mergeCell ref="E11:F11"/>
    <mergeCell ref="G11:H11"/>
    <mergeCell ref="I11:J11"/>
    <mergeCell ref="A12:B20"/>
    <mergeCell ref="C12:D12"/>
    <mergeCell ref="E12:F20"/>
    <mergeCell ref="G12:H12"/>
    <mergeCell ref="I12:J12"/>
    <mergeCell ref="C15:D15"/>
    <mergeCell ref="G15:H15"/>
    <mergeCell ref="I15:J15"/>
    <mergeCell ref="C16:D16"/>
    <mergeCell ref="G16:H16"/>
    <mergeCell ref="I16:J16"/>
    <mergeCell ref="C13:D13"/>
    <mergeCell ref="G13:H13"/>
    <mergeCell ref="I13:J13"/>
    <mergeCell ref="C14:D14"/>
    <mergeCell ref="G14:H14"/>
    <mergeCell ref="I14:J14"/>
    <mergeCell ref="C18:D18"/>
    <mergeCell ref="G18:H18"/>
    <mergeCell ref="I18:J18"/>
    <mergeCell ref="A21:B29"/>
    <mergeCell ref="C21:D21"/>
    <mergeCell ref="E21:F29"/>
    <mergeCell ref="G21:H21"/>
    <mergeCell ref="I21:J21"/>
    <mergeCell ref="C22:D22"/>
    <mergeCell ref="G22:H22"/>
    <mergeCell ref="C17:D17"/>
    <mergeCell ref="G17:H17"/>
    <mergeCell ref="I17:J17"/>
    <mergeCell ref="C19:D19"/>
    <mergeCell ref="G19:H19"/>
    <mergeCell ref="I19:J19"/>
    <mergeCell ref="I22:J22"/>
    <mergeCell ref="C23:D23"/>
    <mergeCell ref="G23:H23"/>
    <mergeCell ref="I23:J23"/>
    <mergeCell ref="C24:D24"/>
    <mergeCell ref="G24:H24"/>
    <mergeCell ref="I24:J24"/>
    <mergeCell ref="C20:D20"/>
    <mergeCell ref="G20:H20"/>
    <mergeCell ref="I20:J20"/>
    <mergeCell ref="C28:D28"/>
    <mergeCell ref="G28:H28"/>
    <mergeCell ref="I28:J28"/>
    <mergeCell ref="C29:D29"/>
    <mergeCell ref="G29:H29"/>
    <mergeCell ref="I29:J29"/>
    <mergeCell ref="C25:D25"/>
    <mergeCell ref="G25:H25"/>
    <mergeCell ref="I25:J25"/>
    <mergeCell ref="C26:D26"/>
    <mergeCell ref="G26:H26"/>
    <mergeCell ref="I26:J26"/>
    <mergeCell ref="C27:D27"/>
    <mergeCell ref="G27:H27"/>
    <mergeCell ref="I27:J27"/>
    <mergeCell ref="I34:J34"/>
    <mergeCell ref="E30:F38"/>
    <mergeCell ref="G30:H30"/>
    <mergeCell ref="I30:J30"/>
    <mergeCell ref="C31:D31"/>
    <mergeCell ref="G31:H31"/>
    <mergeCell ref="I31:J31"/>
    <mergeCell ref="C32:D32"/>
    <mergeCell ref="G32:H32"/>
    <mergeCell ref="C36:D36"/>
    <mergeCell ref="G36:H36"/>
    <mergeCell ref="I36:J36"/>
    <mergeCell ref="A42:B42"/>
    <mergeCell ref="A43:B43"/>
    <mergeCell ref="A44:B44"/>
    <mergeCell ref="A45:B45"/>
    <mergeCell ref="I55:J55"/>
    <mergeCell ref="C38:D38"/>
    <mergeCell ref="G38:H38"/>
    <mergeCell ref="I38:J38"/>
    <mergeCell ref="A40:H40"/>
    <mergeCell ref="A41:J41"/>
    <mergeCell ref="A30:B38"/>
    <mergeCell ref="C30:D30"/>
    <mergeCell ref="C35:D35"/>
    <mergeCell ref="G35:H35"/>
    <mergeCell ref="I35:J35"/>
    <mergeCell ref="C37:D37"/>
    <mergeCell ref="G37:H37"/>
    <mergeCell ref="I37:J37"/>
    <mergeCell ref="I32:J32"/>
    <mergeCell ref="C33:D33"/>
    <mergeCell ref="G33:H33"/>
    <mergeCell ref="I33:J33"/>
    <mergeCell ref="C34:D34"/>
    <mergeCell ref="G34:H34"/>
    <mergeCell ref="A56:H57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64:J64"/>
    <mergeCell ref="C65:D65"/>
    <mergeCell ref="G65:H65"/>
    <mergeCell ref="I65:J65"/>
    <mergeCell ref="C66:D66"/>
    <mergeCell ref="G66:H66"/>
    <mergeCell ref="I66:J66"/>
    <mergeCell ref="A62:B70"/>
    <mergeCell ref="C62:D62"/>
    <mergeCell ref="E62:F70"/>
    <mergeCell ref="G62:H62"/>
    <mergeCell ref="I62:J62"/>
    <mergeCell ref="C63:D63"/>
    <mergeCell ref="G63:H63"/>
    <mergeCell ref="I63:J63"/>
    <mergeCell ref="C64:D64"/>
    <mergeCell ref="G64:H64"/>
    <mergeCell ref="C68:D68"/>
    <mergeCell ref="G68:H68"/>
    <mergeCell ref="I68:J68"/>
    <mergeCell ref="A71:B79"/>
    <mergeCell ref="C71:D71"/>
    <mergeCell ref="E71:F79"/>
    <mergeCell ref="G71:H71"/>
    <mergeCell ref="I71:J71"/>
    <mergeCell ref="C72:D72"/>
    <mergeCell ref="G72:H72"/>
    <mergeCell ref="C67:D67"/>
    <mergeCell ref="G67:H67"/>
    <mergeCell ref="I67:J67"/>
    <mergeCell ref="C69:D69"/>
    <mergeCell ref="G69:H69"/>
    <mergeCell ref="I69:J69"/>
    <mergeCell ref="I72:J72"/>
    <mergeCell ref="C73:D73"/>
    <mergeCell ref="G73:H73"/>
    <mergeCell ref="I73:J73"/>
    <mergeCell ref="C74:D74"/>
    <mergeCell ref="G74:H74"/>
    <mergeCell ref="I74:J74"/>
    <mergeCell ref="C70:D70"/>
    <mergeCell ref="G70:H70"/>
    <mergeCell ref="I70:J70"/>
    <mergeCell ref="C78:D78"/>
    <mergeCell ref="G78:H78"/>
    <mergeCell ref="I78:J78"/>
    <mergeCell ref="C79:D79"/>
    <mergeCell ref="G79:H79"/>
    <mergeCell ref="I79:J79"/>
    <mergeCell ref="C75:D75"/>
    <mergeCell ref="G75:H75"/>
    <mergeCell ref="I75:J75"/>
    <mergeCell ref="C76:D76"/>
    <mergeCell ref="G76:H76"/>
    <mergeCell ref="I76:J76"/>
    <mergeCell ref="C77:D77"/>
    <mergeCell ref="G77:H77"/>
    <mergeCell ref="I77:J77"/>
    <mergeCell ref="I84:J84"/>
    <mergeCell ref="E80:F88"/>
    <mergeCell ref="G80:H80"/>
    <mergeCell ref="I80:J80"/>
    <mergeCell ref="C81:D81"/>
    <mergeCell ref="G81:H81"/>
    <mergeCell ref="I81:J81"/>
    <mergeCell ref="C82:D82"/>
    <mergeCell ref="G82:H82"/>
    <mergeCell ref="C86:D86"/>
    <mergeCell ref="G86:H86"/>
    <mergeCell ref="I86:J86"/>
    <mergeCell ref="A92:B92"/>
    <mergeCell ref="A93:B93"/>
    <mergeCell ref="A94:B94"/>
    <mergeCell ref="A95:B95"/>
    <mergeCell ref="I105:J105"/>
    <mergeCell ref="C88:D88"/>
    <mergeCell ref="G88:H88"/>
    <mergeCell ref="I88:J88"/>
    <mergeCell ref="A90:H90"/>
    <mergeCell ref="A91:J91"/>
    <mergeCell ref="A80:B88"/>
    <mergeCell ref="C80:D80"/>
    <mergeCell ref="C85:D85"/>
    <mergeCell ref="G85:H85"/>
    <mergeCell ref="I85:J85"/>
    <mergeCell ref="C87:D87"/>
    <mergeCell ref="G87:H87"/>
    <mergeCell ref="I87:J87"/>
    <mergeCell ref="I82:J82"/>
    <mergeCell ref="C83:D83"/>
    <mergeCell ref="G83:H83"/>
    <mergeCell ref="I83:J83"/>
    <mergeCell ref="C84:D84"/>
    <mergeCell ref="G84:H84"/>
    <mergeCell ref="A106:H107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12:J112"/>
    <mergeCell ref="C113:D113"/>
    <mergeCell ref="G113:H113"/>
    <mergeCell ref="I113:J113"/>
    <mergeCell ref="C114:D114"/>
    <mergeCell ref="G114:H114"/>
    <mergeCell ref="I114:J114"/>
    <mergeCell ref="A112:B118"/>
    <mergeCell ref="E112:F118"/>
    <mergeCell ref="C112:D112"/>
    <mergeCell ref="G112:H112"/>
    <mergeCell ref="C116:D116"/>
    <mergeCell ref="G116:H116"/>
    <mergeCell ref="I116:J116"/>
    <mergeCell ref="A119:B125"/>
    <mergeCell ref="E119:F125"/>
    <mergeCell ref="C115:D115"/>
    <mergeCell ref="G115:H115"/>
    <mergeCell ref="I115:J115"/>
    <mergeCell ref="C117:D117"/>
    <mergeCell ref="G117:H117"/>
    <mergeCell ref="I117:J117"/>
    <mergeCell ref="C119:D119"/>
    <mergeCell ref="G119:H119"/>
    <mergeCell ref="I119:J119"/>
    <mergeCell ref="C120:D120"/>
    <mergeCell ref="G120:H120"/>
    <mergeCell ref="I120:J120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C121:D121"/>
    <mergeCell ref="G121:H121"/>
    <mergeCell ref="I121:J121"/>
    <mergeCell ref="C122:D122"/>
    <mergeCell ref="G122:H122"/>
    <mergeCell ref="I122:J122"/>
    <mergeCell ref="C123:D123"/>
    <mergeCell ref="G123:H123"/>
    <mergeCell ref="I123:J123"/>
    <mergeCell ref="G128:H128"/>
    <mergeCell ref="I128:J128"/>
    <mergeCell ref="E126:F132"/>
    <mergeCell ref="C126:D126"/>
    <mergeCell ref="G126:H126"/>
    <mergeCell ref="C130:D130"/>
    <mergeCell ref="G130:H130"/>
    <mergeCell ref="I130:J130"/>
    <mergeCell ref="A142:B142"/>
    <mergeCell ref="A143:B143"/>
    <mergeCell ref="A144:B144"/>
    <mergeCell ref="A145:B145"/>
    <mergeCell ref="C132:D132"/>
    <mergeCell ref="G132:H132"/>
    <mergeCell ref="I132:J132"/>
    <mergeCell ref="A140:H140"/>
    <mergeCell ref="A141:J141"/>
    <mergeCell ref="A126:B132"/>
    <mergeCell ref="C129:D129"/>
    <mergeCell ref="G129:H129"/>
    <mergeCell ref="I129:J129"/>
    <mergeCell ref="C131:D131"/>
    <mergeCell ref="G131:H131"/>
    <mergeCell ref="I131:J131"/>
    <mergeCell ref="I126:J126"/>
    <mergeCell ref="C127:D127"/>
    <mergeCell ref="G127:H127"/>
    <mergeCell ref="I127:J127"/>
    <mergeCell ref="C128:D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4" t="s">
        <v>2</v>
      </c>
      <c r="J5" s="54"/>
    </row>
    <row r="6" spans="1:13" ht="15" customHeight="1" x14ac:dyDescent="0.2">
      <c r="A6" s="55" t="s">
        <v>71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3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5" t="s">
        <v>73</v>
      </c>
      <c r="B9" s="65"/>
      <c r="C9" s="65"/>
      <c r="D9" s="65"/>
      <c r="E9" s="65"/>
      <c r="F9" s="65"/>
      <c r="G9" s="65"/>
      <c r="H9" s="65"/>
      <c r="I9" s="73" t="s">
        <v>72</v>
      </c>
      <c r="J9" s="73"/>
    </row>
    <row r="10" spans="1:13" ht="15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ht="15" customHeight="1" x14ac:dyDescent="0.25">
      <c r="A11" s="68" t="s">
        <v>4</v>
      </c>
      <c r="B11" s="68"/>
      <c r="C11" s="68" t="s">
        <v>74</v>
      </c>
      <c r="D11" s="68"/>
      <c r="E11" s="68" t="s">
        <v>44</v>
      </c>
      <c r="F11" s="68"/>
      <c r="G11" s="68" t="s">
        <v>186</v>
      </c>
      <c r="H11" s="68"/>
      <c r="I11" s="68" t="s">
        <v>41</v>
      </c>
      <c r="J11" s="68"/>
    </row>
    <row r="12" spans="1:13" ht="15" customHeight="1" x14ac:dyDescent="0.2">
      <c r="A12" s="81" t="s">
        <v>97</v>
      </c>
      <c r="B12" s="81"/>
      <c r="C12" s="90" t="s">
        <v>91</v>
      </c>
      <c r="D12" s="91"/>
      <c r="E12" s="82">
        <v>1000</v>
      </c>
      <c r="F12" s="82"/>
      <c r="G12" s="63">
        <f>MROUND(2125*$I$8,5)</f>
        <v>2190</v>
      </c>
      <c r="H12" s="63"/>
      <c r="I12" s="64">
        <f>ROUND(G12*$J$8,0)</f>
        <v>2190</v>
      </c>
      <c r="J12" s="64"/>
      <c r="L12" s="22"/>
      <c r="M12" s="22"/>
    </row>
    <row r="13" spans="1:13" ht="15" customHeight="1" x14ac:dyDescent="0.2">
      <c r="A13" s="81"/>
      <c r="B13" s="81"/>
      <c r="C13" s="90" t="s">
        <v>75</v>
      </c>
      <c r="D13" s="91"/>
      <c r="E13" s="82"/>
      <c r="F13" s="82"/>
      <c r="G13" s="63">
        <f>MROUND(2235*$I$8,5)</f>
        <v>2300</v>
      </c>
      <c r="H13" s="63"/>
      <c r="I13" s="64">
        <f t="shared" ref="I13:I32" si="0">ROUND(G13*$J$8,0)</f>
        <v>2300</v>
      </c>
      <c r="J13" s="64"/>
      <c r="L13" s="22"/>
      <c r="M13" s="22"/>
    </row>
    <row r="14" spans="1:13" ht="15" customHeight="1" x14ac:dyDescent="0.2">
      <c r="A14" s="81"/>
      <c r="B14" s="81"/>
      <c r="C14" s="90" t="s">
        <v>92</v>
      </c>
      <c r="D14" s="91"/>
      <c r="E14" s="82"/>
      <c r="F14" s="82"/>
      <c r="G14" s="63">
        <f>MROUND(2525*$I$8,5)</f>
        <v>2600</v>
      </c>
      <c r="H14" s="63"/>
      <c r="I14" s="64">
        <f t="shared" si="0"/>
        <v>2600</v>
      </c>
      <c r="J14" s="64"/>
      <c r="L14" s="22"/>
      <c r="M14" s="22"/>
    </row>
    <row r="15" spans="1:13" ht="15" customHeight="1" x14ac:dyDescent="0.2">
      <c r="A15" s="81"/>
      <c r="B15" s="81"/>
      <c r="C15" s="90" t="s">
        <v>93</v>
      </c>
      <c r="D15" s="91"/>
      <c r="E15" s="82"/>
      <c r="F15" s="82"/>
      <c r="G15" s="63">
        <f>MROUND(2680*$I$8,5)</f>
        <v>2760</v>
      </c>
      <c r="H15" s="63"/>
      <c r="I15" s="64">
        <f t="shared" si="0"/>
        <v>2760</v>
      </c>
      <c r="J15" s="64"/>
      <c r="L15" s="22"/>
      <c r="M15" s="22"/>
    </row>
    <row r="16" spans="1:13" ht="15" customHeight="1" x14ac:dyDescent="0.2">
      <c r="A16" s="81"/>
      <c r="B16" s="81"/>
      <c r="C16" s="90" t="s">
        <v>94</v>
      </c>
      <c r="D16" s="91"/>
      <c r="E16" s="82"/>
      <c r="F16" s="82"/>
      <c r="G16" s="63">
        <f>MROUND(2810*$I$8,5)</f>
        <v>2895</v>
      </c>
      <c r="H16" s="63"/>
      <c r="I16" s="64">
        <f t="shared" si="0"/>
        <v>2895</v>
      </c>
      <c r="J16" s="64"/>
      <c r="L16" s="22"/>
      <c r="M16" s="22"/>
    </row>
    <row r="17" spans="1:13" ht="15" customHeight="1" x14ac:dyDescent="0.2">
      <c r="A17" s="81"/>
      <c r="B17" s="81"/>
      <c r="C17" s="90" t="s">
        <v>95</v>
      </c>
      <c r="D17" s="91"/>
      <c r="E17" s="82"/>
      <c r="F17" s="82"/>
      <c r="G17" s="63">
        <f>MROUND(3075*$I$8,5)</f>
        <v>3165</v>
      </c>
      <c r="H17" s="63"/>
      <c r="I17" s="64">
        <f t="shared" si="0"/>
        <v>3165</v>
      </c>
      <c r="J17" s="64"/>
      <c r="L17" s="22"/>
      <c r="M17" s="22"/>
    </row>
    <row r="18" spans="1:13" ht="15" customHeight="1" x14ac:dyDescent="0.2">
      <c r="A18" s="81"/>
      <c r="B18" s="81"/>
      <c r="C18" s="90" t="s">
        <v>76</v>
      </c>
      <c r="D18" s="91"/>
      <c r="E18" s="82"/>
      <c r="F18" s="82"/>
      <c r="G18" s="63">
        <f>MROUND(3295*$I$8,5)</f>
        <v>3395</v>
      </c>
      <c r="H18" s="63"/>
      <c r="I18" s="64">
        <f t="shared" si="0"/>
        <v>3395</v>
      </c>
      <c r="J18" s="64"/>
      <c r="L18" s="22"/>
      <c r="M18" s="22"/>
    </row>
    <row r="19" spans="1:13" ht="15" customHeight="1" x14ac:dyDescent="0.2">
      <c r="A19" s="81"/>
      <c r="B19" s="81"/>
      <c r="C19" s="90" t="s">
        <v>77</v>
      </c>
      <c r="D19" s="91"/>
      <c r="E19" s="82"/>
      <c r="F19" s="82"/>
      <c r="G19" s="63">
        <f>MROUND(3625*$I$8,5)</f>
        <v>3735</v>
      </c>
      <c r="H19" s="63"/>
      <c r="I19" s="64">
        <f t="shared" si="0"/>
        <v>3735</v>
      </c>
      <c r="J19" s="64"/>
      <c r="L19" s="22"/>
      <c r="M19" s="22"/>
    </row>
    <row r="20" spans="1:13" ht="15" customHeight="1" x14ac:dyDescent="0.2">
      <c r="A20" s="81"/>
      <c r="B20" s="81"/>
      <c r="C20" s="90" t="s">
        <v>78</v>
      </c>
      <c r="D20" s="91"/>
      <c r="E20" s="82"/>
      <c r="F20" s="82"/>
      <c r="G20" s="63">
        <f>MROUND(3925*$I$8,5)</f>
        <v>4045</v>
      </c>
      <c r="H20" s="63"/>
      <c r="I20" s="64">
        <f t="shared" si="0"/>
        <v>4045</v>
      </c>
      <c r="J20" s="64"/>
      <c r="L20" s="22"/>
      <c r="M20" s="22"/>
    </row>
    <row r="21" spans="1:13" ht="15" customHeight="1" x14ac:dyDescent="0.2">
      <c r="A21" s="81"/>
      <c r="B21" s="81"/>
      <c r="C21" s="90" t="s">
        <v>79</v>
      </c>
      <c r="D21" s="91"/>
      <c r="E21" s="82"/>
      <c r="F21" s="82"/>
      <c r="G21" s="63">
        <f>MROUND(4285*$I$8,5)</f>
        <v>4415</v>
      </c>
      <c r="H21" s="63"/>
      <c r="I21" s="64">
        <f t="shared" si="0"/>
        <v>4415</v>
      </c>
      <c r="J21" s="64"/>
      <c r="L21" s="22"/>
      <c r="M21" s="22"/>
    </row>
    <row r="22" spans="1:13" ht="15" customHeight="1" x14ac:dyDescent="0.2">
      <c r="A22" s="81"/>
      <c r="B22" s="81"/>
      <c r="C22" s="90" t="s">
        <v>80</v>
      </c>
      <c r="D22" s="91"/>
      <c r="E22" s="82"/>
      <c r="F22" s="82"/>
      <c r="G22" s="63">
        <f>MROUND(4495*$I$8,5)</f>
        <v>4630</v>
      </c>
      <c r="H22" s="63"/>
      <c r="I22" s="64">
        <f t="shared" si="0"/>
        <v>4630</v>
      </c>
      <c r="J22" s="64"/>
      <c r="L22" s="22"/>
      <c r="M22" s="22"/>
    </row>
    <row r="23" spans="1:13" ht="15" customHeight="1" x14ac:dyDescent="0.2">
      <c r="A23" s="81"/>
      <c r="B23" s="81"/>
      <c r="C23" s="90" t="s">
        <v>81</v>
      </c>
      <c r="D23" s="91"/>
      <c r="E23" s="82"/>
      <c r="F23" s="82"/>
      <c r="G23" s="63">
        <f>MROUND(4625*$I$8,5)</f>
        <v>4765</v>
      </c>
      <c r="H23" s="63"/>
      <c r="I23" s="64">
        <f t="shared" si="0"/>
        <v>4765</v>
      </c>
      <c r="J23" s="64"/>
      <c r="L23" s="22"/>
      <c r="M23" s="22"/>
    </row>
    <row r="24" spans="1:13" ht="15" customHeight="1" x14ac:dyDescent="0.2">
      <c r="A24" s="81"/>
      <c r="B24" s="81"/>
      <c r="C24" s="90" t="s">
        <v>82</v>
      </c>
      <c r="D24" s="91"/>
      <c r="E24" s="82"/>
      <c r="F24" s="82"/>
      <c r="G24" s="63">
        <f>MROUND(5350*$I$8,5)</f>
        <v>5510</v>
      </c>
      <c r="H24" s="63"/>
      <c r="I24" s="64">
        <f t="shared" si="0"/>
        <v>5510</v>
      </c>
      <c r="J24" s="64"/>
      <c r="L24" s="22"/>
      <c r="M24" s="22"/>
    </row>
    <row r="25" spans="1:13" ht="15" customHeight="1" x14ac:dyDescent="0.2">
      <c r="A25" s="81"/>
      <c r="B25" s="81"/>
      <c r="C25" s="90" t="s">
        <v>83</v>
      </c>
      <c r="D25" s="91"/>
      <c r="E25" s="82"/>
      <c r="F25" s="82"/>
      <c r="G25" s="63">
        <f>MROUND(5840*$I$8,5)</f>
        <v>6015</v>
      </c>
      <c r="H25" s="63"/>
      <c r="I25" s="64">
        <f t="shared" si="0"/>
        <v>6015</v>
      </c>
      <c r="J25" s="64"/>
      <c r="L25" s="22"/>
      <c r="M25" s="22"/>
    </row>
    <row r="26" spans="1:13" ht="15" customHeight="1" x14ac:dyDescent="0.2">
      <c r="A26" s="81"/>
      <c r="B26" s="81"/>
      <c r="C26" s="90" t="s">
        <v>84</v>
      </c>
      <c r="D26" s="91"/>
      <c r="E26" s="82"/>
      <c r="F26" s="82"/>
      <c r="G26" s="63">
        <f>MROUND(7475*$I$8,5)</f>
        <v>7700</v>
      </c>
      <c r="H26" s="63"/>
      <c r="I26" s="64">
        <f t="shared" si="0"/>
        <v>7700</v>
      </c>
      <c r="J26" s="64"/>
      <c r="L26" s="22"/>
      <c r="M26" s="22"/>
    </row>
    <row r="27" spans="1:13" ht="15" customHeight="1" x14ac:dyDescent="0.2">
      <c r="A27" s="81"/>
      <c r="B27" s="81"/>
      <c r="C27" s="90" t="s">
        <v>85</v>
      </c>
      <c r="D27" s="91"/>
      <c r="E27" s="82"/>
      <c r="F27" s="82"/>
      <c r="G27" s="63">
        <f>MROUND(8865*$I$8,5)</f>
        <v>9130</v>
      </c>
      <c r="H27" s="63"/>
      <c r="I27" s="64">
        <f t="shared" si="0"/>
        <v>9130</v>
      </c>
      <c r="J27" s="64"/>
      <c r="L27" s="22"/>
      <c r="M27" s="22"/>
    </row>
    <row r="28" spans="1:13" ht="15" customHeight="1" x14ac:dyDescent="0.2">
      <c r="A28" s="81"/>
      <c r="B28" s="81"/>
      <c r="C28" s="90" t="s">
        <v>86</v>
      </c>
      <c r="D28" s="91"/>
      <c r="E28" s="82"/>
      <c r="F28" s="82"/>
      <c r="G28" s="63">
        <f>MROUND(10655*$I$8,5)</f>
        <v>10975</v>
      </c>
      <c r="H28" s="63"/>
      <c r="I28" s="64">
        <f t="shared" si="0"/>
        <v>10975</v>
      </c>
      <c r="J28" s="64"/>
      <c r="L28" s="22"/>
      <c r="M28" s="22"/>
    </row>
    <row r="29" spans="1:13" ht="15" customHeight="1" x14ac:dyDescent="0.2">
      <c r="A29" s="81"/>
      <c r="B29" s="81"/>
      <c r="C29" s="90" t="s">
        <v>87</v>
      </c>
      <c r="D29" s="91"/>
      <c r="E29" s="82"/>
      <c r="F29" s="82"/>
      <c r="G29" s="63">
        <f>MROUND(11345*$I$8,5)</f>
        <v>11685</v>
      </c>
      <c r="H29" s="63"/>
      <c r="I29" s="64">
        <f t="shared" si="0"/>
        <v>11685</v>
      </c>
      <c r="J29" s="64"/>
      <c r="L29" s="22"/>
      <c r="M29" s="22"/>
    </row>
    <row r="30" spans="1:13" ht="15" customHeight="1" x14ac:dyDescent="0.2">
      <c r="A30" s="81"/>
      <c r="B30" s="81"/>
      <c r="C30" s="90" t="s">
        <v>88</v>
      </c>
      <c r="D30" s="91"/>
      <c r="E30" s="82"/>
      <c r="F30" s="82"/>
      <c r="G30" s="63">
        <f>MROUND(12115*$I$8,5)</f>
        <v>12480</v>
      </c>
      <c r="H30" s="63"/>
      <c r="I30" s="64">
        <f t="shared" si="0"/>
        <v>12480</v>
      </c>
      <c r="J30" s="64"/>
      <c r="L30" s="22"/>
      <c r="M30" s="22"/>
    </row>
    <row r="31" spans="1:13" ht="15" customHeight="1" x14ac:dyDescent="0.2">
      <c r="A31" s="81"/>
      <c r="B31" s="81"/>
      <c r="C31" s="90" t="s">
        <v>89</v>
      </c>
      <c r="D31" s="91"/>
      <c r="E31" s="82"/>
      <c r="F31" s="82"/>
      <c r="G31" s="63">
        <f>MROUND(13745*$I$8,5)</f>
        <v>14155</v>
      </c>
      <c r="H31" s="63"/>
      <c r="I31" s="64">
        <f t="shared" si="0"/>
        <v>14155</v>
      </c>
      <c r="J31" s="64"/>
      <c r="L31" s="22"/>
      <c r="M31" s="22"/>
    </row>
    <row r="32" spans="1:13" ht="15" customHeight="1" x14ac:dyDescent="0.2">
      <c r="A32" s="81"/>
      <c r="B32" s="81"/>
      <c r="C32" s="90" t="s">
        <v>90</v>
      </c>
      <c r="D32" s="91"/>
      <c r="E32" s="82"/>
      <c r="F32" s="82"/>
      <c r="G32" s="63">
        <f>MROUND(15015*$I$8,5)</f>
        <v>15465</v>
      </c>
      <c r="H32" s="63"/>
      <c r="I32" s="64">
        <f t="shared" si="0"/>
        <v>15465</v>
      </c>
      <c r="J32" s="64"/>
      <c r="L32" s="22"/>
      <c r="M32" s="22"/>
    </row>
    <row r="33" spans="1:10" ht="15" customHeight="1" x14ac:dyDescent="0.2">
      <c r="A33" s="81"/>
      <c r="B33" s="81"/>
      <c r="C33" s="90" t="s">
        <v>235</v>
      </c>
      <c r="D33" s="91"/>
      <c r="E33" s="82"/>
      <c r="F33" s="82"/>
      <c r="G33" s="63">
        <f>MROUND(17800*$I$8,5)</f>
        <v>18335</v>
      </c>
      <c r="H33" s="63"/>
      <c r="I33" s="64">
        <f t="shared" ref="I33:I34" si="1">ROUND(G33*$J$8,0)</f>
        <v>18335</v>
      </c>
      <c r="J33" s="64"/>
    </row>
    <row r="34" spans="1:10" ht="15" customHeight="1" x14ac:dyDescent="0.2">
      <c r="A34" s="81"/>
      <c r="B34" s="81"/>
      <c r="C34" s="90" t="s">
        <v>236</v>
      </c>
      <c r="D34" s="91"/>
      <c r="E34" s="82"/>
      <c r="F34" s="82"/>
      <c r="G34" s="63">
        <f>MROUND(19500*$I$8,5)</f>
        <v>20085</v>
      </c>
      <c r="H34" s="63"/>
      <c r="I34" s="64">
        <f t="shared" si="1"/>
        <v>20085</v>
      </c>
      <c r="J34" s="64"/>
    </row>
    <row r="35" spans="1:10" ht="15" customHeight="1" x14ac:dyDescent="0.2">
      <c r="A35" s="14"/>
      <c r="B35" s="14"/>
      <c r="C35" s="13"/>
      <c r="D35" s="13"/>
      <c r="E35" s="12"/>
      <c r="F35" s="12"/>
      <c r="G35" s="6"/>
      <c r="H35" s="6"/>
      <c r="I35" s="7"/>
      <c r="J35" s="7"/>
    </row>
    <row r="36" spans="1:10" ht="15" customHeight="1" x14ac:dyDescent="0.2">
      <c r="A36" s="5"/>
      <c r="B36" s="5"/>
      <c r="C36" s="5"/>
      <c r="D36" s="5"/>
      <c r="E36" s="5"/>
      <c r="F36" s="5"/>
      <c r="G36" s="6"/>
      <c r="H36" s="6"/>
      <c r="I36" s="7"/>
      <c r="J36" s="7"/>
    </row>
    <row r="37" spans="1:10" ht="15" customHeight="1" x14ac:dyDescent="0.25">
      <c r="A37" s="65" t="s">
        <v>98</v>
      </c>
      <c r="B37" s="65"/>
      <c r="C37" s="65"/>
      <c r="D37" s="65"/>
      <c r="E37" s="65"/>
      <c r="F37" s="65"/>
      <c r="G37" s="65"/>
      <c r="H37" s="65"/>
      <c r="I37" s="21">
        <v>2</v>
      </c>
      <c r="J37" s="21">
        <v>0.65</v>
      </c>
    </row>
    <row r="38" spans="1:10" ht="15" customHeight="1" x14ac:dyDescent="0.2">
      <c r="A38" s="61" t="s">
        <v>99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5" customHeight="1" x14ac:dyDescent="0.2">
      <c r="A39" s="83" t="s">
        <v>96</v>
      </c>
      <c r="B39" s="84"/>
      <c r="C39" s="9" t="s">
        <v>91</v>
      </c>
      <c r="D39" s="9" t="s">
        <v>75</v>
      </c>
      <c r="E39" s="9" t="s">
        <v>92</v>
      </c>
      <c r="F39" s="9" t="s">
        <v>93</v>
      </c>
      <c r="G39" s="9" t="s">
        <v>94</v>
      </c>
      <c r="H39" s="9" t="s">
        <v>95</v>
      </c>
      <c r="I39" s="9" t="s">
        <v>76</v>
      </c>
      <c r="J39" s="9" t="s">
        <v>77</v>
      </c>
    </row>
    <row r="40" spans="1:10" ht="15" customHeight="1" x14ac:dyDescent="0.2">
      <c r="A40" s="74" t="s">
        <v>184</v>
      </c>
      <c r="B40" s="75"/>
      <c r="C40" s="10">
        <f>MROUND(345*$I$8*$J$8,5)</f>
        <v>355</v>
      </c>
      <c r="D40" s="26">
        <f>MROUND(365*$I$8*$J$8,5)</f>
        <v>375</v>
      </c>
      <c r="E40" s="26">
        <f>MROUND(385*$I$8*$J$8,5)</f>
        <v>395</v>
      </c>
      <c r="F40" s="26">
        <f>MROUND(410*$I$8*$J$8,5)</f>
        <v>420</v>
      </c>
      <c r="G40" s="26">
        <f>MROUND(420*$I$8*$J$8,5)</f>
        <v>435</v>
      </c>
      <c r="H40" s="26">
        <f>MROUND(440*$I$8*$J$8,5)</f>
        <v>455</v>
      </c>
      <c r="I40" s="26">
        <f>MROUND(455*$I$8*$J$8,5)</f>
        <v>470</v>
      </c>
      <c r="J40" s="26">
        <f>MROUND(470*$I$8*$J$8,5)</f>
        <v>485</v>
      </c>
    </row>
    <row r="41" spans="1:10" ht="15" customHeight="1" x14ac:dyDescent="0.2">
      <c r="A41" s="83" t="s">
        <v>96</v>
      </c>
      <c r="B41" s="84"/>
      <c r="C41" s="9" t="s">
        <v>78</v>
      </c>
      <c r="D41" s="9" t="s">
        <v>79</v>
      </c>
      <c r="E41" s="9" t="s">
        <v>80</v>
      </c>
      <c r="F41" s="9" t="s">
        <v>81</v>
      </c>
      <c r="G41" s="9" t="s">
        <v>82</v>
      </c>
      <c r="H41" s="9" t="s">
        <v>83</v>
      </c>
      <c r="I41" s="9" t="s">
        <v>84</v>
      </c>
      <c r="J41" s="9" t="s">
        <v>85</v>
      </c>
    </row>
    <row r="42" spans="1:10" ht="15" customHeight="1" x14ac:dyDescent="0.2">
      <c r="A42" s="74" t="s">
        <v>184</v>
      </c>
      <c r="B42" s="75"/>
      <c r="C42" s="26">
        <f>MROUND(590*$I$8*$J$8,5)</f>
        <v>610</v>
      </c>
      <c r="D42" s="26">
        <f>MROUND(605*$I$8*$J$8,5)</f>
        <v>625</v>
      </c>
      <c r="E42" s="26">
        <f>MROUND(635*$I$8*$J$8,5)</f>
        <v>655</v>
      </c>
      <c r="F42" s="26">
        <f>MROUND(660*$I$8*$J$8,5)</f>
        <v>680</v>
      </c>
      <c r="G42" s="26">
        <f>MROUND(850*$I$8*$J$8,5)</f>
        <v>875</v>
      </c>
      <c r="H42" s="26">
        <f>MROUND(1035*$I$8*$J$8,5)</f>
        <v>1065</v>
      </c>
      <c r="I42" s="26">
        <f>MROUND(1280*$I$8*$J$8,5)</f>
        <v>1320</v>
      </c>
      <c r="J42" s="26">
        <f>MROUND(1420*$I$8*$J$8,5)</f>
        <v>1465</v>
      </c>
    </row>
    <row r="43" spans="1:10" ht="15" customHeight="1" x14ac:dyDescent="0.2">
      <c r="A43" s="83" t="s">
        <v>96</v>
      </c>
      <c r="B43" s="84"/>
      <c r="C43" s="9" t="s">
        <v>86</v>
      </c>
      <c r="D43" s="9" t="s">
        <v>87</v>
      </c>
      <c r="E43" s="9" t="s">
        <v>88</v>
      </c>
      <c r="F43" s="9" t="s">
        <v>89</v>
      </c>
      <c r="G43" s="9" t="s">
        <v>90</v>
      </c>
      <c r="H43" s="9" t="s">
        <v>235</v>
      </c>
      <c r="I43" s="9" t="s">
        <v>236</v>
      </c>
      <c r="J43" s="9" t="s">
        <v>238</v>
      </c>
    </row>
    <row r="44" spans="1:10" ht="15" customHeight="1" x14ac:dyDescent="0.2">
      <c r="A44" s="74" t="s">
        <v>184</v>
      </c>
      <c r="B44" s="75"/>
      <c r="C44" s="26">
        <f>MROUND(1490*$I$8*$J$8,5)</f>
        <v>1535</v>
      </c>
      <c r="D44" s="26">
        <f>MROUND(1530*$I$8*$J$8,5)</f>
        <v>1575</v>
      </c>
      <c r="E44" s="26">
        <f>MROUND(1950*$I$8*$J$8,5)</f>
        <v>2010</v>
      </c>
      <c r="F44" s="26">
        <f>MROUND(2060*$I$8*$J$8,5)</f>
        <v>2120</v>
      </c>
      <c r="G44" s="26">
        <f>MROUND(2170*$I$8*$J$8,5)</f>
        <v>2235</v>
      </c>
      <c r="H44" s="26">
        <f>MROUND(6020*$I$8*$J$8,5)</f>
        <v>6200</v>
      </c>
      <c r="I44" s="26">
        <f>MROUND(8490*$I$8*$J$8,5)</f>
        <v>8745</v>
      </c>
      <c r="J44" s="10" t="s">
        <v>237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35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4" t="s">
        <v>2</v>
      </c>
      <c r="J55" s="54"/>
    </row>
    <row r="56" spans="1:13" ht="15" customHeight="1" x14ac:dyDescent="0.2">
      <c r="A56" s="55" t="s">
        <v>71</v>
      </c>
      <c r="B56" s="55"/>
      <c r="C56" s="55"/>
      <c r="D56" s="55"/>
      <c r="E56" s="55"/>
      <c r="F56" s="55"/>
      <c r="G56" s="55"/>
      <c r="H56" s="56"/>
      <c r="I56" s="69">
        <f>I6</f>
        <v>0</v>
      </c>
      <c r="J56" s="70"/>
    </row>
    <row r="57" spans="1:13" ht="15" customHeight="1" thickBot="1" x14ac:dyDescent="0.25">
      <c r="A57" s="55"/>
      <c r="B57" s="55"/>
      <c r="C57" s="55"/>
      <c r="D57" s="55"/>
      <c r="E57" s="55"/>
      <c r="F57" s="55"/>
      <c r="G57" s="55"/>
      <c r="H57" s="56"/>
      <c r="I57" s="71"/>
      <c r="J57" s="72"/>
    </row>
    <row r="58" spans="1:13" ht="15" customHeight="1" x14ac:dyDescent="0.2">
      <c r="J58" s="30">
        <f>1-I56</f>
        <v>1</v>
      </c>
    </row>
    <row r="59" spans="1:13" ht="15" customHeight="1" x14ac:dyDescent="0.25">
      <c r="A59" s="65" t="s">
        <v>73</v>
      </c>
      <c r="B59" s="65"/>
      <c r="C59" s="65"/>
      <c r="D59" s="65"/>
      <c r="E59" s="65"/>
      <c r="F59" s="65"/>
      <c r="G59" s="65"/>
      <c r="H59" s="65"/>
      <c r="I59" s="73" t="s">
        <v>72</v>
      </c>
      <c r="J59" s="73"/>
    </row>
    <row r="60" spans="1:13" ht="15" customHeight="1" x14ac:dyDescent="0.2">
      <c r="A60" s="61" t="s">
        <v>48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3" ht="15" customHeight="1" x14ac:dyDescent="0.25">
      <c r="A61" s="68" t="s">
        <v>4</v>
      </c>
      <c r="B61" s="68"/>
      <c r="C61" s="68" t="s">
        <v>74</v>
      </c>
      <c r="D61" s="68"/>
      <c r="E61" s="68" t="s">
        <v>44</v>
      </c>
      <c r="F61" s="68"/>
      <c r="G61" s="68" t="s">
        <v>186</v>
      </c>
      <c r="H61" s="68"/>
      <c r="I61" s="68" t="s">
        <v>41</v>
      </c>
      <c r="J61" s="68"/>
    </row>
    <row r="62" spans="1:13" ht="15" customHeight="1" x14ac:dyDescent="0.2">
      <c r="A62" s="81" t="s">
        <v>97</v>
      </c>
      <c r="B62" s="81"/>
      <c r="C62" s="90" t="s">
        <v>91</v>
      </c>
      <c r="D62" s="91"/>
      <c r="E62" s="82">
        <v>1500</v>
      </c>
      <c r="F62" s="82"/>
      <c r="G62" s="63">
        <f>MROUND(2840*$I$8,5)</f>
        <v>2925</v>
      </c>
      <c r="H62" s="63"/>
      <c r="I62" s="64">
        <f t="shared" ref="I62:I84" si="2">ROUND(G62*$J$58,0)</f>
        <v>2925</v>
      </c>
      <c r="J62" s="64"/>
      <c r="L62" s="22"/>
      <c r="M62" s="22"/>
    </row>
    <row r="63" spans="1:13" ht="15" customHeight="1" x14ac:dyDescent="0.2">
      <c r="A63" s="81"/>
      <c r="B63" s="81"/>
      <c r="C63" s="90" t="s">
        <v>75</v>
      </c>
      <c r="D63" s="91"/>
      <c r="E63" s="82"/>
      <c r="F63" s="82"/>
      <c r="G63" s="63">
        <f>MROUND(2990*$I$8,5)</f>
        <v>3080</v>
      </c>
      <c r="H63" s="63"/>
      <c r="I63" s="64">
        <f t="shared" si="2"/>
        <v>3080</v>
      </c>
      <c r="J63" s="64"/>
      <c r="L63" s="22"/>
      <c r="M63" s="22"/>
    </row>
    <row r="64" spans="1:13" ht="15" customHeight="1" x14ac:dyDescent="0.2">
      <c r="A64" s="81"/>
      <c r="B64" s="81"/>
      <c r="C64" s="90" t="s">
        <v>92</v>
      </c>
      <c r="D64" s="91"/>
      <c r="E64" s="82"/>
      <c r="F64" s="82"/>
      <c r="G64" s="63">
        <f>MROUND(3240*$I$8,5)</f>
        <v>3335</v>
      </c>
      <c r="H64" s="63"/>
      <c r="I64" s="64">
        <f t="shared" si="2"/>
        <v>3335</v>
      </c>
      <c r="J64" s="64"/>
      <c r="L64" s="22"/>
      <c r="M64" s="22"/>
    </row>
    <row r="65" spans="1:13" ht="15" customHeight="1" x14ac:dyDescent="0.2">
      <c r="A65" s="81"/>
      <c r="B65" s="81"/>
      <c r="C65" s="90" t="s">
        <v>93</v>
      </c>
      <c r="D65" s="91"/>
      <c r="E65" s="82"/>
      <c r="F65" s="82"/>
      <c r="G65" s="63">
        <f>MROUND(3405*$I$8,5)</f>
        <v>3505</v>
      </c>
      <c r="H65" s="63"/>
      <c r="I65" s="64">
        <f t="shared" si="2"/>
        <v>3505</v>
      </c>
      <c r="J65" s="64"/>
      <c r="L65" s="22"/>
      <c r="M65" s="22"/>
    </row>
    <row r="66" spans="1:13" ht="15" customHeight="1" x14ac:dyDescent="0.2">
      <c r="A66" s="81"/>
      <c r="B66" s="81"/>
      <c r="C66" s="90" t="s">
        <v>94</v>
      </c>
      <c r="D66" s="91"/>
      <c r="E66" s="82"/>
      <c r="F66" s="82"/>
      <c r="G66" s="63">
        <f>MROUND(3675*$I$8,5)</f>
        <v>3785</v>
      </c>
      <c r="H66" s="63"/>
      <c r="I66" s="64">
        <f t="shared" si="2"/>
        <v>3785</v>
      </c>
      <c r="J66" s="64"/>
      <c r="L66" s="22"/>
      <c r="M66" s="22"/>
    </row>
    <row r="67" spans="1:13" ht="15" customHeight="1" x14ac:dyDescent="0.2">
      <c r="A67" s="81"/>
      <c r="B67" s="81"/>
      <c r="C67" s="90" t="s">
        <v>95</v>
      </c>
      <c r="D67" s="91"/>
      <c r="E67" s="82"/>
      <c r="F67" s="82"/>
      <c r="G67" s="63">
        <f>MROUND(4055*$I$8,5)</f>
        <v>4175</v>
      </c>
      <c r="H67" s="63"/>
      <c r="I67" s="64">
        <f t="shared" si="2"/>
        <v>4175</v>
      </c>
      <c r="J67" s="64"/>
      <c r="L67" s="22"/>
      <c r="M67" s="22"/>
    </row>
    <row r="68" spans="1:13" ht="15" customHeight="1" x14ac:dyDescent="0.2">
      <c r="A68" s="81"/>
      <c r="B68" s="81"/>
      <c r="C68" s="90" t="s">
        <v>76</v>
      </c>
      <c r="D68" s="91"/>
      <c r="E68" s="82"/>
      <c r="F68" s="82"/>
      <c r="G68" s="63">
        <f>MROUND(4280*$I$8,5)</f>
        <v>4410</v>
      </c>
      <c r="H68" s="63"/>
      <c r="I68" s="64">
        <f t="shared" si="2"/>
        <v>4410</v>
      </c>
      <c r="J68" s="64"/>
      <c r="L68" s="22"/>
      <c r="M68" s="22"/>
    </row>
    <row r="69" spans="1:13" ht="15" customHeight="1" x14ac:dyDescent="0.2">
      <c r="A69" s="81"/>
      <c r="B69" s="81"/>
      <c r="C69" s="90" t="s">
        <v>77</v>
      </c>
      <c r="D69" s="91"/>
      <c r="E69" s="82"/>
      <c r="F69" s="82"/>
      <c r="G69" s="63">
        <f>MROUND(4725*$I$8,5)</f>
        <v>4865</v>
      </c>
      <c r="H69" s="63"/>
      <c r="I69" s="64">
        <f t="shared" si="2"/>
        <v>4865</v>
      </c>
      <c r="J69" s="64"/>
      <c r="L69" s="22"/>
      <c r="M69" s="22"/>
    </row>
    <row r="70" spans="1:13" ht="15" customHeight="1" x14ac:dyDescent="0.2">
      <c r="A70" s="81"/>
      <c r="B70" s="81"/>
      <c r="C70" s="90" t="s">
        <v>78</v>
      </c>
      <c r="D70" s="91"/>
      <c r="E70" s="82"/>
      <c r="F70" s="82"/>
      <c r="G70" s="63">
        <f>MROUND(5040*$I$8,5)</f>
        <v>5190</v>
      </c>
      <c r="H70" s="63"/>
      <c r="I70" s="64">
        <f t="shared" si="2"/>
        <v>5190</v>
      </c>
      <c r="J70" s="64"/>
      <c r="L70" s="22"/>
      <c r="M70" s="22"/>
    </row>
    <row r="71" spans="1:13" ht="15" customHeight="1" x14ac:dyDescent="0.2">
      <c r="A71" s="81"/>
      <c r="B71" s="81"/>
      <c r="C71" s="90" t="s">
        <v>79</v>
      </c>
      <c r="D71" s="91"/>
      <c r="E71" s="82"/>
      <c r="F71" s="82"/>
      <c r="G71" s="63">
        <f>MROUND(5495*$I$8,5)</f>
        <v>5660</v>
      </c>
      <c r="H71" s="63"/>
      <c r="I71" s="64">
        <f t="shared" si="2"/>
        <v>5660</v>
      </c>
      <c r="J71" s="64"/>
      <c r="L71" s="22"/>
      <c r="M71" s="22"/>
    </row>
    <row r="72" spans="1:13" ht="15" customHeight="1" x14ac:dyDescent="0.2">
      <c r="A72" s="81"/>
      <c r="B72" s="81"/>
      <c r="C72" s="90" t="s">
        <v>80</v>
      </c>
      <c r="D72" s="91"/>
      <c r="E72" s="82"/>
      <c r="F72" s="82"/>
      <c r="G72" s="63">
        <f>MROUND(5815*$I$8,5)</f>
        <v>5990</v>
      </c>
      <c r="H72" s="63"/>
      <c r="I72" s="64">
        <f t="shared" si="2"/>
        <v>5990</v>
      </c>
      <c r="J72" s="64"/>
      <c r="L72" s="22"/>
      <c r="M72" s="22"/>
    </row>
    <row r="73" spans="1:13" ht="15" customHeight="1" x14ac:dyDescent="0.2">
      <c r="A73" s="81"/>
      <c r="B73" s="81"/>
      <c r="C73" s="90" t="s">
        <v>81</v>
      </c>
      <c r="D73" s="91"/>
      <c r="E73" s="82"/>
      <c r="F73" s="82"/>
      <c r="G73" s="63">
        <f>MROUND(5990*$I$8,5)</f>
        <v>6170</v>
      </c>
      <c r="H73" s="63"/>
      <c r="I73" s="64">
        <f t="shared" si="2"/>
        <v>6170</v>
      </c>
      <c r="J73" s="64"/>
      <c r="L73" s="22"/>
      <c r="M73" s="22"/>
    </row>
    <row r="74" spans="1:13" ht="15" customHeight="1" x14ac:dyDescent="0.2">
      <c r="A74" s="81"/>
      <c r="B74" s="81"/>
      <c r="C74" s="90" t="s">
        <v>82</v>
      </c>
      <c r="D74" s="91"/>
      <c r="E74" s="82"/>
      <c r="F74" s="82"/>
      <c r="G74" s="63">
        <f>MROUND(6945*$I$8,5)</f>
        <v>7155</v>
      </c>
      <c r="H74" s="63"/>
      <c r="I74" s="64">
        <f t="shared" si="2"/>
        <v>7155</v>
      </c>
      <c r="J74" s="64"/>
      <c r="L74" s="22"/>
      <c r="M74" s="22"/>
    </row>
    <row r="75" spans="1:13" ht="15" customHeight="1" x14ac:dyDescent="0.2">
      <c r="A75" s="81"/>
      <c r="B75" s="81"/>
      <c r="C75" s="90" t="s">
        <v>83</v>
      </c>
      <c r="D75" s="91"/>
      <c r="E75" s="82"/>
      <c r="F75" s="82"/>
      <c r="G75" s="63">
        <f>MROUND(7480*$I$8,5)</f>
        <v>7705</v>
      </c>
      <c r="H75" s="63"/>
      <c r="I75" s="64">
        <f t="shared" si="2"/>
        <v>7705</v>
      </c>
      <c r="J75" s="64"/>
      <c r="L75" s="22"/>
      <c r="M75" s="22"/>
    </row>
    <row r="76" spans="1:13" ht="15" customHeight="1" x14ac:dyDescent="0.2">
      <c r="A76" s="81"/>
      <c r="B76" s="81"/>
      <c r="C76" s="90" t="s">
        <v>84</v>
      </c>
      <c r="D76" s="91"/>
      <c r="E76" s="82"/>
      <c r="F76" s="82"/>
      <c r="G76" s="63">
        <f>MROUND(9310*$I$8,5)</f>
        <v>9590</v>
      </c>
      <c r="H76" s="63"/>
      <c r="I76" s="64">
        <f t="shared" si="2"/>
        <v>9590</v>
      </c>
      <c r="J76" s="64"/>
      <c r="L76" s="22"/>
      <c r="M76" s="22"/>
    </row>
    <row r="77" spans="1:13" ht="15" customHeight="1" x14ac:dyDescent="0.2">
      <c r="A77" s="81"/>
      <c r="B77" s="81"/>
      <c r="C77" s="90" t="s">
        <v>85</v>
      </c>
      <c r="D77" s="91"/>
      <c r="E77" s="82"/>
      <c r="F77" s="82"/>
      <c r="G77" s="63">
        <f>MROUND(10840*$I$8,5)</f>
        <v>11165</v>
      </c>
      <c r="H77" s="63"/>
      <c r="I77" s="64">
        <f t="shared" si="2"/>
        <v>11165</v>
      </c>
      <c r="J77" s="64"/>
      <c r="L77" s="22"/>
      <c r="M77" s="22"/>
    </row>
    <row r="78" spans="1:13" ht="15" customHeight="1" x14ac:dyDescent="0.2">
      <c r="A78" s="81"/>
      <c r="B78" s="81"/>
      <c r="C78" s="90" t="s">
        <v>86</v>
      </c>
      <c r="D78" s="91"/>
      <c r="E78" s="82"/>
      <c r="F78" s="82"/>
      <c r="G78" s="63">
        <f>MROUND(12865*$I$8,5)</f>
        <v>13250</v>
      </c>
      <c r="H78" s="63"/>
      <c r="I78" s="64">
        <f t="shared" si="2"/>
        <v>13250</v>
      </c>
      <c r="J78" s="64"/>
      <c r="L78" s="22"/>
      <c r="M78" s="22"/>
    </row>
    <row r="79" spans="1:13" ht="15" customHeight="1" x14ac:dyDescent="0.2">
      <c r="A79" s="81"/>
      <c r="B79" s="81"/>
      <c r="C79" s="90" t="s">
        <v>87</v>
      </c>
      <c r="D79" s="91"/>
      <c r="E79" s="82"/>
      <c r="F79" s="82"/>
      <c r="G79" s="63">
        <f>MROUND(14010*$I$8,5)</f>
        <v>14430</v>
      </c>
      <c r="H79" s="63"/>
      <c r="I79" s="64">
        <f t="shared" si="2"/>
        <v>14430</v>
      </c>
      <c r="J79" s="64"/>
      <c r="L79" s="22"/>
      <c r="M79" s="22"/>
    </row>
    <row r="80" spans="1:13" ht="15" customHeight="1" x14ac:dyDescent="0.2">
      <c r="A80" s="81"/>
      <c r="B80" s="81"/>
      <c r="C80" s="90" t="s">
        <v>88</v>
      </c>
      <c r="D80" s="91"/>
      <c r="E80" s="82"/>
      <c r="F80" s="82"/>
      <c r="G80" s="63">
        <f>MROUND(14855*$I$8,5)</f>
        <v>15300</v>
      </c>
      <c r="H80" s="63"/>
      <c r="I80" s="64">
        <f t="shared" si="2"/>
        <v>15300</v>
      </c>
      <c r="J80" s="64"/>
      <c r="L80" s="22"/>
      <c r="M80" s="22"/>
    </row>
    <row r="81" spans="1:13" ht="15" customHeight="1" x14ac:dyDescent="0.2">
      <c r="A81" s="81"/>
      <c r="B81" s="81"/>
      <c r="C81" s="90" t="s">
        <v>89</v>
      </c>
      <c r="D81" s="91"/>
      <c r="E81" s="82"/>
      <c r="F81" s="82"/>
      <c r="G81" s="63">
        <f>MROUND(16640*$I$8,5)</f>
        <v>17140</v>
      </c>
      <c r="H81" s="63"/>
      <c r="I81" s="64">
        <f t="shared" si="2"/>
        <v>17140</v>
      </c>
      <c r="J81" s="64"/>
      <c r="L81" s="22"/>
      <c r="M81" s="22"/>
    </row>
    <row r="82" spans="1:13" ht="15" customHeight="1" x14ac:dyDescent="0.2">
      <c r="A82" s="81"/>
      <c r="B82" s="81"/>
      <c r="C82" s="90" t="s">
        <v>90</v>
      </c>
      <c r="D82" s="91"/>
      <c r="E82" s="82"/>
      <c r="F82" s="82"/>
      <c r="G82" s="63">
        <f>MROUND(18245*$I$8,5)</f>
        <v>18790</v>
      </c>
      <c r="H82" s="63"/>
      <c r="I82" s="64">
        <f t="shared" si="2"/>
        <v>18790</v>
      </c>
      <c r="J82" s="64"/>
      <c r="L82" s="22"/>
      <c r="M82" s="22"/>
    </row>
    <row r="83" spans="1:13" ht="15" customHeight="1" x14ac:dyDescent="0.2">
      <c r="A83" s="81"/>
      <c r="B83" s="81"/>
      <c r="C83" s="90" t="s">
        <v>235</v>
      </c>
      <c r="D83" s="91"/>
      <c r="E83" s="82"/>
      <c r="F83" s="82"/>
      <c r="G83" s="63">
        <f>MROUND(23600*$I$8,5)</f>
        <v>24310</v>
      </c>
      <c r="H83" s="63"/>
      <c r="I83" s="64">
        <f t="shared" si="2"/>
        <v>24310</v>
      </c>
      <c r="J83" s="64"/>
    </row>
    <row r="84" spans="1:13" ht="15" customHeight="1" x14ac:dyDescent="0.2">
      <c r="A84" s="81"/>
      <c r="B84" s="81"/>
      <c r="C84" s="90" t="s">
        <v>236</v>
      </c>
      <c r="D84" s="91"/>
      <c r="E84" s="82"/>
      <c r="F84" s="82"/>
      <c r="G84" s="63">
        <f>MROUND(25700*$I$8,5)</f>
        <v>26470</v>
      </c>
      <c r="H84" s="63"/>
      <c r="I84" s="64">
        <f t="shared" si="2"/>
        <v>26470</v>
      </c>
      <c r="J84" s="64"/>
    </row>
    <row r="85" spans="1:13" ht="15" customHeight="1" x14ac:dyDescent="0.2">
      <c r="A85" s="14"/>
      <c r="B85" s="14"/>
      <c r="C85" s="13"/>
      <c r="D85" s="13"/>
      <c r="E85" s="12"/>
      <c r="F85" s="12"/>
      <c r="G85" s="6"/>
      <c r="H85" s="6"/>
      <c r="I85" s="7"/>
      <c r="J85" s="7"/>
    </row>
    <row r="86" spans="1:13" ht="15" customHeight="1" x14ac:dyDescent="0.2">
      <c r="A86" s="5"/>
      <c r="B86" s="5"/>
      <c r="C86" s="5"/>
      <c r="D86" s="5"/>
      <c r="E86" s="5"/>
      <c r="F86" s="5"/>
      <c r="G86" s="6"/>
      <c r="H86" s="6"/>
      <c r="I86" s="7"/>
      <c r="J86" s="7"/>
    </row>
    <row r="87" spans="1:13" ht="15" customHeight="1" x14ac:dyDescent="0.25">
      <c r="A87" s="65" t="s">
        <v>98</v>
      </c>
      <c r="B87" s="65"/>
      <c r="C87" s="65"/>
      <c r="D87" s="65"/>
      <c r="E87" s="65"/>
      <c r="F87" s="65"/>
      <c r="G87" s="65"/>
      <c r="H87" s="65"/>
      <c r="I87" s="21">
        <v>2</v>
      </c>
      <c r="J87" s="21">
        <v>0.65</v>
      </c>
    </row>
    <row r="88" spans="1:13" ht="15" customHeight="1" x14ac:dyDescent="0.2">
      <c r="A88" s="61" t="s">
        <v>99</v>
      </c>
      <c r="B88" s="61"/>
      <c r="C88" s="61"/>
      <c r="D88" s="61"/>
      <c r="E88" s="61"/>
      <c r="F88" s="61"/>
      <c r="G88" s="61"/>
      <c r="H88" s="61"/>
      <c r="I88" s="61"/>
      <c r="J88" s="61"/>
    </row>
    <row r="89" spans="1:13" ht="15" customHeight="1" x14ac:dyDescent="0.2">
      <c r="A89" s="83" t="s">
        <v>96</v>
      </c>
      <c r="B89" s="84"/>
      <c r="C89" s="9" t="s">
        <v>91</v>
      </c>
      <c r="D89" s="9" t="s">
        <v>75</v>
      </c>
      <c r="E89" s="9" t="s">
        <v>92</v>
      </c>
      <c r="F89" s="9" t="s">
        <v>93</v>
      </c>
      <c r="G89" s="9" t="s">
        <v>94</v>
      </c>
      <c r="H89" s="9" t="s">
        <v>95</v>
      </c>
      <c r="I89" s="9" t="s">
        <v>76</v>
      </c>
      <c r="J89" s="9" t="s">
        <v>77</v>
      </c>
    </row>
    <row r="90" spans="1:13" ht="15" customHeight="1" x14ac:dyDescent="0.2">
      <c r="A90" s="74" t="s">
        <v>184</v>
      </c>
      <c r="B90" s="75"/>
      <c r="C90" s="26">
        <f>MROUND(345*$I$8*$J$58,5)</f>
        <v>355</v>
      </c>
      <c r="D90" s="26">
        <f>MROUND(365*$I$8*$J$58,5)</f>
        <v>375</v>
      </c>
      <c r="E90" s="26">
        <f>MROUND(385*$I$8*$J$58,5)</f>
        <v>395</v>
      </c>
      <c r="F90" s="26">
        <f>MROUND(410*$I$8*$J$58,5)</f>
        <v>420</v>
      </c>
      <c r="G90" s="26">
        <f>MROUND(420*$I$8*$J$58,5)</f>
        <v>435</v>
      </c>
      <c r="H90" s="26">
        <f>MROUND(440*$I$8*$J$58,5)</f>
        <v>455</v>
      </c>
      <c r="I90" s="26">
        <f>MROUND(455*$I$8*$J$58,5)</f>
        <v>470</v>
      </c>
      <c r="J90" s="26">
        <f>MROUND(470*$I$8*$J$58,5)</f>
        <v>485</v>
      </c>
    </row>
    <row r="91" spans="1:13" ht="15" customHeight="1" x14ac:dyDescent="0.2">
      <c r="A91" s="83" t="s">
        <v>96</v>
      </c>
      <c r="B91" s="84"/>
      <c r="C91" s="9" t="s">
        <v>78</v>
      </c>
      <c r="D91" s="9" t="s">
        <v>79</v>
      </c>
      <c r="E91" s="9" t="s">
        <v>80</v>
      </c>
      <c r="F91" s="9" t="s">
        <v>81</v>
      </c>
      <c r="G91" s="9" t="s">
        <v>82</v>
      </c>
      <c r="H91" s="9" t="s">
        <v>83</v>
      </c>
      <c r="I91" s="9" t="s">
        <v>84</v>
      </c>
      <c r="J91" s="9" t="s">
        <v>85</v>
      </c>
    </row>
    <row r="92" spans="1:13" ht="15" customHeight="1" x14ac:dyDescent="0.2">
      <c r="A92" s="74" t="s">
        <v>184</v>
      </c>
      <c r="B92" s="75"/>
      <c r="C92" s="26">
        <f>MROUND(590*$I$8*$J$58,5)</f>
        <v>610</v>
      </c>
      <c r="D92" s="26">
        <f>MROUND(605*$I$8*$J$58,5)</f>
        <v>625</v>
      </c>
      <c r="E92" s="26">
        <f>MROUND(635*$I$8*$J$58,5)</f>
        <v>655</v>
      </c>
      <c r="F92" s="26">
        <f>MROUND(660*$I$8*$J$58,5)</f>
        <v>680</v>
      </c>
      <c r="G92" s="26">
        <f>MROUND(850*$I$8*$J$58,5)</f>
        <v>875</v>
      </c>
      <c r="H92" s="26">
        <f>MROUND(1035*$I$8*$J$58,5)</f>
        <v>1065</v>
      </c>
      <c r="I92" s="26">
        <f>MROUND(1280*$I$8*$J$58,5)</f>
        <v>1320</v>
      </c>
      <c r="J92" s="26">
        <f>MROUND(1420*$I$8*$J$58,5)</f>
        <v>1465</v>
      </c>
    </row>
    <row r="93" spans="1:13" ht="15" customHeight="1" x14ac:dyDescent="0.2">
      <c r="A93" s="83" t="s">
        <v>96</v>
      </c>
      <c r="B93" s="84"/>
      <c r="C93" s="9" t="s">
        <v>86</v>
      </c>
      <c r="D93" s="9" t="s">
        <v>87</v>
      </c>
      <c r="E93" s="9" t="s">
        <v>88</v>
      </c>
      <c r="F93" s="9" t="s">
        <v>89</v>
      </c>
      <c r="G93" s="9" t="s">
        <v>90</v>
      </c>
      <c r="H93" s="9" t="s">
        <v>235</v>
      </c>
      <c r="I93" s="9" t="s">
        <v>236</v>
      </c>
      <c r="J93" s="9" t="s">
        <v>238</v>
      </c>
    </row>
    <row r="94" spans="1:13" ht="15" customHeight="1" x14ac:dyDescent="0.2">
      <c r="A94" s="74" t="s">
        <v>184</v>
      </c>
      <c r="B94" s="75"/>
      <c r="C94" s="26">
        <f>MROUND(1490*$I$8*$J$58,5)</f>
        <v>1535</v>
      </c>
      <c r="D94" s="26">
        <f>MROUND(1530*$I$8*$J$58,5)</f>
        <v>1575</v>
      </c>
      <c r="E94" s="26">
        <f>MROUND(1950*$I$8*$J$58,5)</f>
        <v>2010</v>
      </c>
      <c r="F94" s="26">
        <f>MROUND(2060*$I$8*$J$58,5)</f>
        <v>2120</v>
      </c>
      <c r="G94" s="26">
        <f>MROUND(2170*$I$8*$J$58,5)</f>
        <v>2235</v>
      </c>
      <c r="H94" s="26">
        <f>MROUND(6020*$I$8*$J$58,5)</f>
        <v>6200</v>
      </c>
      <c r="I94" s="26">
        <f>MROUND(8490*$I$8*$J$58,5)</f>
        <v>8745</v>
      </c>
      <c r="J94" s="26" t="s">
        <v>237</v>
      </c>
    </row>
    <row r="95" spans="1:13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3" ht="15" customHeight="1" x14ac:dyDescent="0.2">
      <c r="A96" s="3" t="s">
        <v>32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33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35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4" t="s">
        <v>2</v>
      </c>
      <c r="J105" s="54"/>
    </row>
    <row r="106" spans="1:13" ht="15" customHeight="1" x14ac:dyDescent="0.2">
      <c r="A106" s="55" t="s">
        <v>71</v>
      </c>
      <c r="B106" s="55"/>
      <c r="C106" s="55"/>
      <c r="D106" s="55"/>
      <c r="E106" s="55"/>
      <c r="F106" s="55"/>
      <c r="G106" s="55"/>
      <c r="H106" s="56"/>
      <c r="I106" s="69">
        <f>I6</f>
        <v>0</v>
      </c>
      <c r="J106" s="70"/>
    </row>
    <row r="107" spans="1:13" ht="15" customHeight="1" thickBot="1" x14ac:dyDescent="0.25">
      <c r="A107" s="55"/>
      <c r="B107" s="55"/>
      <c r="C107" s="55"/>
      <c r="D107" s="55"/>
      <c r="E107" s="55"/>
      <c r="F107" s="55"/>
      <c r="G107" s="55"/>
      <c r="H107" s="56"/>
      <c r="I107" s="71"/>
      <c r="J107" s="72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5" t="s">
        <v>73</v>
      </c>
      <c r="B109" s="65"/>
      <c r="C109" s="65"/>
      <c r="D109" s="65"/>
      <c r="E109" s="65"/>
      <c r="F109" s="65"/>
      <c r="G109" s="65"/>
      <c r="H109" s="65"/>
      <c r="I109" s="73" t="s">
        <v>72</v>
      </c>
      <c r="J109" s="73"/>
    </row>
    <row r="110" spans="1:13" ht="15" customHeight="1" x14ac:dyDescent="0.2">
      <c r="A110" s="61" t="s">
        <v>48</v>
      </c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3" ht="15" customHeight="1" x14ac:dyDescent="0.25">
      <c r="A111" s="68" t="s">
        <v>4</v>
      </c>
      <c r="B111" s="68"/>
      <c r="C111" s="68" t="s">
        <v>74</v>
      </c>
      <c r="D111" s="68"/>
      <c r="E111" s="68" t="s">
        <v>44</v>
      </c>
      <c r="F111" s="68"/>
      <c r="G111" s="68" t="s">
        <v>186</v>
      </c>
      <c r="H111" s="68"/>
      <c r="I111" s="68" t="s">
        <v>41</v>
      </c>
      <c r="J111" s="68"/>
    </row>
    <row r="112" spans="1:13" ht="15" customHeight="1" x14ac:dyDescent="0.2">
      <c r="A112" s="81" t="s">
        <v>97</v>
      </c>
      <c r="B112" s="81"/>
      <c r="C112" s="90" t="s">
        <v>91</v>
      </c>
      <c r="D112" s="91"/>
      <c r="E112" s="82">
        <v>2000</v>
      </c>
      <c r="F112" s="82"/>
      <c r="G112" s="63">
        <f>MROUND(3525*$I$8,5)</f>
        <v>3630</v>
      </c>
      <c r="H112" s="63"/>
      <c r="I112" s="64">
        <f t="shared" ref="I112:I134" si="3">ROUND(G112*$J$108,0)</f>
        <v>3630</v>
      </c>
      <c r="J112" s="64"/>
      <c r="L112" s="22"/>
      <c r="M112" s="22"/>
    </row>
    <row r="113" spans="1:13" ht="15" customHeight="1" x14ac:dyDescent="0.2">
      <c r="A113" s="81"/>
      <c r="B113" s="81"/>
      <c r="C113" s="90" t="s">
        <v>75</v>
      </c>
      <c r="D113" s="91"/>
      <c r="E113" s="82"/>
      <c r="F113" s="82"/>
      <c r="G113" s="63">
        <f>MROUND(3725*$I$8,5)</f>
        <v>3835</v>
      </c>
      <c r="H113" s="63"/>
      <c r="I113" s="64">
        <f t="shared" si="3"/>
        <v>3835</v>
      </c>
      <c r="J113" s="64"/>
      <c r="L113" s="22"/>
      <c r="M113" s="22"/>
    </row>
    <row r="114" spans="1:13" ht="15" customHeight="1" x14ac:dyDescent="0.2">
      <c r="A114" s="81"/>
      <c r="B114" s="81"/>
      <c r="C114" s="90" t="s">
        <v>92</v>
      </c>
      <c r="D114" s="91"/>
      <c r="E114" s="82"/>
      <c r="F114" s="82"/>
      <c r="G114" s="63">
        <f>MROUND(3975*$I$8,5)</f>
        <v>4095</v>
      </c>
      <c r="H114" s="63"/>
      <c r="I114" s="64">
        <f t="shared" si="3"/>
        <v>4095</v>
      </c>
      <c r="J114" s="64"/>
      <c r="L114" s="22"/>
      <c r="M114" s="22"/>
    </row>
    <row r="115" spans="1:13" ht="15" customHeight="1" x14ac:dyDescent="0.2">
      <c r="A115" s="81"/>
      <c r="B115" s="81"/>
      <c r="C115" s="90" t="s">
        <v>93</v>
      </c>
      <c r="D115" s="91"/>
      <c r="E115" s="82"/>
      <c r="F115" s="82"/>
      <c r="G115" s="63">
        <f>MROUND(4285*$I$8,5)</f>
        <v>4415</v>
      </c>
      <c r="H115" s="63"/>
      <c r="I115" s="64">
        <f t="shared" si="3"/>
        <v>4415</v>
      </c>
      <c r="J115" s="64"/>
      <c r="L115" s="22"/>
      <c r="M115" s="22"/>
    </row>
    <row r="116" spans="1:13" ht="15" customHeight="1" x14ac:dyDescent="0.2">
      <c r="A116" s="81"/>
      <c r="B116" s="81"/>
      <c r="C116" s="90" t="s">
        <v>94</v>
      </c>
      <c r="D116" s="91"/>
      <c r="E116" s="82"/>
      <c r="F116" s="82"/>
      <c r="G116" s="63">
        <f>MROUND(4500*$I$8,5)</f>
        <v>4635</v>
      </c>
      <c r="H116" s="63"/>
      <c r="I116" s="64">
        <f t="shared" si="3"/>
        <v>4635</v>
      </c>
      <c r="J116" s="64"/>
      <c r="L116" s="22"/>
      <c r="M116" s="22"/>
    </row>
    <row r="117" spans="1:13" ht="15" customHeight="1" x14ac:dyDescent="0.2">
      <c r="A117" s="81"/>
      <c r="B117" s="81"/>
      <c r="C117" s="90" t="s">
        <v>95</v>
      </c>
      <c r="D117" s="91"/>
      <c r="E117" s="82"/>
      <c r="F117" s="82"/>
      <c r="G117" s="63">
        <f>MROUND(4935*$I$8,5)</f>
        <v>5085</v>
      </c>
      <c r="H117" s="63"/>
      <c r="I117" s="64">
        <f t="shared" si="3"/>
        <v>5085</v>
      </c>
      <c r="J117" s="64"/>
      <c r="L117" s="22"/>
      <c r="M117" s="22"/>
    </row>
    <row r="118" spans="1:13" ht="15" customHeight="1" x14ac:dyDescent="0.2">
      <c r="A118" s="81"/>
      <c r="B118" s="81"/>
      <c r="C118" s="90" t="s">
        <v>76</v>
      </c>
      <c r="D118" s="91"/>
      <c r="E118" s="82"/>
      <c r="F118" s="82"/>
      <c r="G118" s="63">
        <f>MROUND(5220*$I$8,5)</f>
        <v>5375</v>
      </c>
      <c r="H118" s="63"/>
      <c r="I118" s="64">
        <f t="shared" si="3"/>
        <v>5375</v>
      </c>
      <c r="J118" s="64"/>
      <c r="L118" s="22"/>
      <c r="M118" s="22"/>
    </row>
    <row r="119" spans="1:13" ht="15" customHeight="1" x14ac:dyDescent="0.2">
      <c r="A119" s="81"/>
      <c r="B119" s="81"/>
      <c r="C119" s="90" t="s">
        <v>77</v>
      </c>
      <c r="D119" s="91"/>
      <c r="E119" s="82"/>
      <c r="F119" s="82"/>
      <c r="G119" s="63">
        <f>MROUND(5705*$I$8,5)</f>
        <v>5875</v>
      </c>
      <c r="H119" s="63"/>
      <c r="I119" s="64">
        <f t="shared" si="3"/>
        <v>5875</v>
      </c>
      <c r="J119" s="64"/>
      <c r="L119" s="22"/>
      <c r="M119" s="22"/>
    </row>
    <row r="120" spans="1:13" ht="15" customHeight="1" x14ac:dyDescent="0.2">
      <c r="A120" s="81"/>
      <c r="B120" s="81"/>
      <c r="C120" s="90" t="s">
        <v>78</v>
      </c>
      <c r="D120" s="91"/>
      <c r="E120" s="82"/>
      <c r="F120" s="82"/>
      <c r="G120" s="63">
        <f>MROUND(6095*$I$8,5)</f>
        <v>6280</v>
      </c>
      <c r="H120" s="63"/>
      <c r="I120" s="64">
        <f t="shared" si="3"/>
        <v>6280</v>
      </c>
      <c r="J120" s="64"/>
      <c r="L120" s="22"/>
      <c r="M120" s="22"/>
    </row>
    <row r="121" spans="1:13" ht="15" customHeight="1" x14ac:dyDescent="0.2">
      <c r="A121" s="81"/>
      <c r="B121" s="81"/>
      <c r="C121" s="90" t="s">
        <v>79</v>
      </c>
      <c r="D121" s="91"/>
      <c r="E121" s="82"/>
      <c r="F121" s="82"/>
      <c r="G121" s="63">
        <f>MROUND(6585*$I$8,5)</f>
        <v>6785</v>
      </c>
      <c r="H121" s="63"/>
      <c r="I121" s="64">
        <f t="shared" si="3"/>
        <v>6785</v>
      </c>
      <c r="J121" s="64"/>
      <c r="L121" s="22"/>
      <c r="M121" s="22"/>
    </row>
    <row r="122" spans="1:13" ht="15" customHeight="1" x14ac:dyDescent="0.2">
      <c r="A122" s="81"/>
      <c r="B122" s="81"/>
      <c r="C122" s="90" t="s">
        <v>80</v>
      </c>
      <c r="D122" s="91"/>
      <c r="E122" s="82"/>
      <c r="F122" s="82"/>
      <c r="G122" s="63">
        <f>MROUND(6945*$I$8,5)</f>
        <v>7155</v>
      </c>
      <c r="H122" s="63"/>
      <c r="I122" s="64">
        <f t="shared" si="3"/>
        <v>7155</v>
      </c>
      <c r="J122" s="64"/>
      <c r="L122" s="22"/>
      <c r="M122" s="22"/>
    </row>
    <row r="123" spans="1:13" ht="15" customHeight="1" x14ac:dyDescent="0.2">
      <c r="A123" s="81"/>
      <c r="B123" s="81"/>
      <c r="C123" s="90" t="s">
        <v>81</v>
      </c>
      <c r="D123" s="91"/>
      <c r="E123" s="82"/>
      <c r="F123" s="82"/>
      <c r="G123" s="63">
        <f>MROUND(7290*$I$8,5)</f>
        <v>7510</v>
      </c>
      <c r="H123" s="63"/>
      <c r="I123" s="64">
        <f t="shared" si="3"/>
        <v>7510</v>
      </c>
      <c r="J123" s="64"/>
      <c r="L123" s="22"/>
      <c r="M123" s="22"/>
    </row>
    <row r="124" spans="1:13" ht="15" customHeight="1" x14ac:dyDescent="0.2">
      <c r="A124" s="81"/>
      <c r="B124" s="81"/>
      <c r="C124" s="90" t="s">
        <v>82</v>
      </c>
      <c r="D124" s="91"/>
      <c r="E124" s="82"/>
      <c r="F124" s="82"/>
      <c r="G124" s="63">
        <f>MROUND(8355*$I$8,5)</f>
        <v>8605</v>
      </c>
      <c r="H124" s="63"/>
      <c r="I124" s="64">
        <f t="shared" si="3"/>
        <v>8605</v>
      </c>
      <c r="J124" s="64"/>
      <c r="L124" s="22"/>
      <c r="M124" s="22"/>
    </row>
    <row r="125" spans="1:13" ht="15" customHeight="1" x14ac:dyDescent="0.2">
      <c r="A125" s="81"/>
      <c r="B125" s="81"/>
      <c r="C125" s="90" t="s">
        <v>83</v>
      </c>
      <c r="D125" s="91"/>
      <c r="E125" s="82"/>
      <c r="F125" s="82"/>
      <c r="G125" s="63">
        <f>MROUND(9115*$I$8,5)</f>
        <v>9390</v>
      </c>
      <c r="H125" s="63"/>
      <c r="I125" s="64">
        <f t="shared" si="3"/>
        <v>9390</v>
      </c>
      <c r="J125" s="64"/>
      <c r="L125" s="22"/>
      <c r="M125" s="22"/>
    </row>
    <row r="126" spans="1:13" ht="15" customHeight="1" x14ac:dyDescent="0.2">
      <c r="A126" s="81"/>
      <c r="B126" s="81"/>
      <c r="C126" s="90" t="s">
        <v>84</v>
      </c>
      <c r="D126" s="91"/>
      <c r="E126" s="82"/>
      <c r="F126" s="82"/>
      <c r="G126" s="63">
        <f>MROUND(10995*$I$8,5)</f>
        <v>11325</v>
      </c>
      <c r="H126" s="63"/>
      <c r="I126" s="64">
        <f t="shared" si="3"/>
        <v>11325</v>
      </c>
      <c r="J126" s="64"/>
      <c r="L126" s="22"/>
      <c r="M126" s="22"/>
    </row>
    <row r="127" spans="1:13" ht="15" customHeight="1" x14ac:dyDescent="0.2">
      <c r="A127" s="81"/>
      <c r="B127" s="81"/>
      <c r="C127" s="90" t="s">
        <v>85</v>
      </c>
      <c r="D127" s="91"/>
      <c r="E127" s="82"/>
      <c r="F127" s="82"/>
      <c r="G127" s="63">
        <f>MROUND(12815*$I$8,5)</f>
        <v>13200</v>
      </c>
      <c r="H127" s="63"/>
      <c r="I127" s="64">
        <f t="shared" si="3"/>
        <v>13200</v>
      </c>
      <c r="J127" s="64"/>
      <c r="L127" s="22"/>
      <c r="M127" s="22"/>
    </row>
    <row r="128" spans="1:13" ht="15" customHeight="1" x14ac:dyDescent="0.2">
      <c r="A128" s="81"/>
      <c r="B128" s="81"/>
      <c r="C128" s="90" t="s">
        <v>86</v>
      </c>
      <c r="D128" s="91"/>
      <c r="E128" s="82"/>
      <c r="F128" s="82"/>
      <c r="G128" s="63">
        <f>MROUND(15385*$I$8,5)</f>
        <v>15845</v>
      </c>
      <c r="H128" s="63"/>
      <c r="I128" s="64">
        <f t="shared" si="3"/>
        <v>15845</v>
      </c>
      <c r="J128" s="64"/>
      <c r="L128" s="22"/>
      <c r="M128" s="22"/>
    </row>
    <row r="129" spans="1:13" ht="15" customHeight="1" x14ac:dyDescent="0.2">
      <c r="A129" s="81"/>
      <c r="B129" s="81"/>
      <c r="C129" s="90" t="s">
        <v>87</v>
      </c>
      <c r="D129" s="91"/>
      <c r="E129" s="82"/>
      <c r="F129" s="82"/>
      <c r="G129" s="63">
        <f>MROUND(16735*$I$8,5)</f>
        <v>17235</v>
      </c>
      <c r="H129" s="63"/>
      <c r="I129" s="64">
        <f t="shared" si="3"/>
        <v>17235</v>
      </c>
      <c r="J129" s="64"/>
      <c r="L129" s="22"/>
      <c r="M129" s="22"/>
    </row>
    <row r="130" spans="1:13" ht="15" customHeight="1" x14ac:dyDescent="0.2">
      <c r="A130" s="81"/>
      <c r="B130" s="81"/>
      <c r="C130" s="90" t="s">
        <v>88</v>
      </c>
      <c r="D130" s="91"/>
      <c r="E130" s="82"/>
      <c r="F130" s="82"/>
      <c r="G130" s="63">
        <f>MROUND(17605*$I$8,5)</f>
        <v>18135</v>
      </c>
      <c r="H130" s="63"/>
      <c r="I130" s="64">
        <f t="shared" si="3"/>
        <v>18135</v>
      </c>
      <c r="J130" s="64"/>
      <c r="L130" s="22"/>
      <c r="M130" s="22"/>
    </row>
    <row r="131" spans="1:13" ht="15" customHeight="1" x14ac:dyDescent="0.2">
      <c r="A131" s="81"/>
      <c r="B131" s="81"/>
      <c r="C131" s="90" t="s">
        <v>89</v>
      </c>
      <c r="D131" s="91"/>
      <c r="E131" s="82"/>
      <c r="F131" s="82"/>
      <c r="G131" s="63">
        <f>MROUND(19795*$I$8,5)</f>
        <v>20390</v>
      </c>
      <c r="H131" s="63"/>
      <c r="I131" s="64">
        <f t="shared" si="3"/>
        <v>20390</v>
      </c>
      <c r="J131" s="64"/>
      <c r="L131" s="22"/>
      <c r="M131" s="22"/>
    </row>
    <row r="132" spans="1:13" ht="15" customHeight="1" x14ac:dyDescent="0.2">
      <c r="A132" s="81"/>
      <c r="B132" s="81"/>
      <c r="C132" s="90" t="s">
        <v>90</v>
      </c>
      <c r="D132" s="91"/>
      <c r="E132" s="82"/>
      <c r="F132" s="82"/>
      <c r="G132" s="63">
        <f>MROUND(21490*$I$8,5)</f>
        <v>22135</v>
      </c>
      <c r="H132" s="63"/>
      <c r="I132" s="64">
        <f t="shared" si="3"/>
        <v>22135</v>
      </c>
      <c r="J132" s="64"/>
      <c r="L132" s="22"/>
      <c r="M132" s="22"/>
    </row>
    <row r="133" spans="1:13" ht="15" customHeight="1" x14ac:dyDescent="0.2">
      <c r="A133" s="81"/>
      <c r="B133" s="81"/>
      <c r="C133" s="90" t="s">
        <v>235</v>
      </c>
      <c r="D133" s="91"/>
      <c r="E133" s="82"/>
      <c r="F133" s="82"/>
      <c r="G133" s="63">
        <f>MROUND(29300*$I$8,5)</f>
        <v>30180</v>
      </c>
      <c r="H133" s="63"/>
      <c r="I133" s="64">
        <f t="shared" si="3"/>
        <v>30180</v>
      </c>
      <c r="J133" s="64"/>
    </row>
    <row r="134" spans="1:13" ht="15" customHeight="1" x14ac:dyDescent="0.2">
      <c r="A134" s="81"/>
      <c r="B134" s="81"/>
      <c r="C134" s="90" t="s">
        <v>236</v>
      </c>
      <c r="D134" s="91"/>
      <c r="E134" s="82"/>
      <c r="F134" s="82"/>
      <c r="G134" s="63">
        <f>MROUND(31900*$I$8,5)</f>
        <v>32855</v>
      </c>
      <c r="H134" s="63"/>
      <c r="I134" s="64">
        <f t="shared" si="3"/>
        <v>32855</v>
      </c>
      <c r="J134" s="64"/>
    </row>
    <row r="135" spans="1:13" ht="15" customHeight="1" x14ac:dyDescent="0.2">
      <c r="A135" s="14"/>
      <c r="B135" s="14"/>
      <c r="C135" s="13"/>
      <c r="D135" s="13"/>
      <c r="E135" s="12"/>
      <c r="F135" s="12"/>
      <c r="G135" s="6"/>
      <c r="H135" s="6"/>
      <c r="I135" s="7"/>
      <c r="J135" s="7"/>
    </row>
    <row r="136" spans="1:13" ht="15" customHeight="1" x14ac:dyDescent="0.2">
      <c r="A136" s="5"/>
      <c r="B136" s="5"/>
      <c r="C136" s="5"/>
      <c r="D136" s="5"/>
      <c r="E136" s="5"/>
      <c r="F136" s="5"/>
      <c r="G136" s="6"/>
      <c r="H136" s="6"/>
      <c r="I136" s="7"/>
      <c r="J136" s="7"/>
    </row>
    <row r="137" spans="1:13" ht="15" customHeight="1" x14ac:dyDescent="0.25">
      <c r="A137" s="65" t="s">
        <v>98</v>
      </c>
      <c r="B137" s="65"/>
      <c r="C137" s="65"/>
      <c r="D137" s="65"/>
      <c r="E137" s="65"/>
      <c r="F137" s="65"/>
      <c r="G137" s="65"/>
      <c r="H137" s="65"/>
      <c r="I137" s="21">
        <v>2</v>
      </c>
      <c r="J137" s="21">
        <v>0.65</v>
      </c>
    </row>
    <row r="138" spans="1:13" ht="15" customHeight="1" x14ac:dyDescent="0.2">
      <c r="A138" s="61" t="s">
        <v>99</v>
      </c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3" ht="15" customHeight="1" x14ac:dyDescent="0.2">
      <c r="A139" s="83" t="s">
        <v>96</v>
      </c>
      <c r="B139" s="84"/>
      <c r="C139" s="9" t="s">
        <v>91</v>
      </c>
      <c r="D139" s="9" t="s">
        <v>75</v>
      </c>
      <c r="E139" s="9" t="s">
        <v>92</v>
      </c>
      <c r="F139" s="9" t="s">
        <v>93</v>
      </c>
      <c r="G139" s="9" t="s">
        <v>94</v>
      </c>
      <c r="H139" s="9" t="s">
        <v>95</v>
      </c>
      <c r="I139" s="9" t="s">
        <v>76</v>
      </c>
      <c r="J139" s="9" t="s">
        <v>77</v>
      </c>
    </row>
    <row r="140" spans="1:13" ht="15" customHeight="1" x14ac:dyDescent="0.2">
      <c r="A140" s="74" t="s">
        <v>184</v>
      </c>
      <c r="B140" s="75"/>
      <c r="C140" s="26">
        <f>MROUND(345*$I$8*$J$108,5)</f>
        <v>355</v>
      </c>
      <c r="D140" s="26">
        <f>MROUND(365*$I$8*$J$108,5)</f>
        <v>375</v>
      </c>
      <c r="E140" s="26">
        <f>MROUND(385*$I$8*$J$108,5)</f>
        <v>395</v>
      </c>
      <c r="F140" s="26">
        <f>MROUND(410*$I$8*$J$108,5)</f>
        <v>420</v>
      </c>
      <c r="G140" s="26">
        <f>MROUND(420*$I$8*$J$108,5)</f>
        <v>435</v>
      </c>
      <c r="H140" s="26">
        <f>MROUND(440*$I$8*$J$108,5)</f>
        <v>455</v>
      </c>
      <c r="I140" s="26">
        <f>MROUND(455*$I$8*$J$108,5)</f>
        <v>470</v>
      </c>
      <c r="J140" s="26">
        <f>MROUND(470*$I$8*$J$108,5)</f>
        <v>485</v>
      </c>
    </row>
    <row r="141" spans="1:13" ht="15" customHeight="1" x14ac:dyDescent="0.2">
      <c r="A141" s="83" t="s">
        <v>96</v>
      </c>
      <c r="B141" s="84"/>
      <c r="C141" s="9" t="s">
        <v>78</v>
      </c>
      <c r="D141" s="9" t="s">
        <v>79</v>
      </c>
      <c r="E141" s="9" t="s">
        <v>80</v>
      </c>
      <c r="F141" s="9" t="s">
        <v>81</v>
      </c>
      <c r="G141" s="9" t="s">
        <v>82</v>
      </c>
      <c r="H141" s="9" t="s">
        <v>83</v>
      </c>
      <c r="I141" s="9" t="s">
        <v>84</v>
      </c>
      <c r="J141" s="9" t="s">
        <v>85</v>
      </c>
    </row>
    <row r="142" spans="1:13" ht="15" customHeight="1" x14ac:dyDescent="0.2">
      <c r="A142" s="74" t="s">
        <v>184</v>
      </c>
      <c r="B142" s="75"/>
      <c r="C142" s="26">
        <f>MROUND(590*$I$8*$J$108,5)</f>
        <v>610</v>
      </c>
      <c r="D142" s="26">
        <f>MROUND(605*$I$8*$J$108,5)</f>
        <v>625</v>
      </c>
      <c r="E142" s="26">
        <f>MROUND(635*$I$8*$J$108,5)</f>
        <v>655</v>
      </c>
      <c r="F142" s="26">
        <f>MROUND(660*$I$8*$J$108,5)</f>
        <v>680</v>
      </c>
      <c r="G142" s="26">
        <f>MROUND(850*$I$8*$J$108,5)</f>
        <v>875</v>
      </c>
      <c r="H142" s="26">
        <f>MROUND(1035*$I$8*$J$108,5)</f>
        <v>1065</v>
      </c>
      <c r="I142" s="26">
        <f>MROUND(1280*$I$8*$J$108,5)</f>
        <v>1320</v>
      </c>
      <c r="J142" s="26">
        <f>MROUND(1420*$I$8*$J$108,5)</f>
        <v>1465</v>
      </c>
    </row>
    <row r="143" spans="1:13" ht="15" customHeight="1" x14ac:dyDescent="0.2">
      <c r="A143" s="83" t="s">
        <v>96</v>
      </c>
      <c r="B143" s="84"/>
      <c r="C143" s="9" t="s">
        <v>86</v>
      </c>
      <c r="D143" s="9" t="s">
        <v>87</v>
      </c>
      <c r="E143" s="9" t="s">
        <v>88</v>
      </c>
      <c r="F143" s="9" t="s">
        <v>89</v>
      </c>
      <c r="G143" s="9" t="s">
        <v>90</v>
      </c>
      <c r="H143" s="9" t="s">
        <v>235</v>
      </c>
      <c r="I143" s="9" t="s">
        <v>236</v>
      </c>
      <c r="J143" s="9" t="s">
        <v>238</v>
      </c>
    </row>
    <row r="144" spans="1:13" ht="15" customHeight="1" x14ac:dyDescent="0.2">
      <c r="A144" s="74" t="s">
        <v>184</v>
      </c>
      <c r="B144" s="75"/>
      <c r="C144" s="26">
        <f>MROUND(1490*$I$8*$J$108,5)</f>
        <v>1535</v>
      </c>
      <c r="D144" s="26">
        <f>MROUND(1530*$I$8*$J$108,5)</f>
        <v>1575</v>
      </c>
      <c r="E144" s="26">
        <f>MROUND(1950*$I$8*$J$108,5)</f>
        <v>2010</v>
      </c>
      <c r="F144" s="26">
        <f>MROUND(2060*$I$8*$J$108,5)</f>
        <v>2120</v>
      </c>
      <c r="G144" s="26">
        <f>MROUND(2170*$I$8*$J$108,5)</f>
        <v>2235</v>
      </c>
      <c r="H144" s="26">
        <f>MROUND(6020*$I$8*$J$108,5)</f>
        <v>6200</v>
      </c>
      <c r="I144" s="26">
        <f>MROUND(8490*$I$8*$J$108,5)</f>
        <v>8745</v>
      </c>
      <c r="J144" s="26" t="s">
        <v>237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32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33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35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70">
    <mergeCell ref="C19:D19"/>
    <mergeCell ref="G19:H19"/>
    <mergeCell ref="I19:J19"/>
    <mergeCell ref="I5:J5"/>
    <mergeCell ref="A6:H7"/>
    <mergeCell ref="I6:J7"/>
    <mergeCell ref="A9:H9"/>
    <mergeCell ref="I9:J9"/>
    <mergeCell ref="A10:J10"/>
    <mergeCell ref="C15:D15"/>
    <mergeCell ref="G15:H15"/>
    <mergeCell ref="I15:J15"/>
    <mergeCell ref="C13:D13"/>
    <mergeCell ref="G13:H13"/>
    <mergeCell ref="I13:J13"/>
    <mergeCell ref="A11:B11"/>
    <mergeCell ref="C11:D11"/>
    <mergeCell ref="E11:F11"/>
    <mergeCell ref="G11:H11"/>
    <mergeCell ref="I11:J11"/>
    <mergeCell ref="C12:D12"/>
    <mergeCell ref="G12:H12"/>
    <mergeCell ref="I12:J12"/>
    <mergeCell ref="C14:D14"/>
    <mergeCell ref="C17:D17"/>
    <mergeCell ref="G17:H17"/>
    <mergeCell ref="I17:J17"/>
    <mergeCell ref="C18:D18"/>
    <mergeCell ref="G18:H18"/>
    <mergeCell ref="I18:J18"/>
    <mergeCell ref="C16:D16"/>
    <mergeCell ref="G16:H16"/>
    <mergeCell ref="I16:J16"/>
    <mergeCell ref="G14:H14"/>
    <mergeCell ref="I14:J14"/>
    <mergeCell ref="C32:D32"/>
    <mergeCell ref="G32:H32"/>
    <mergeCell ref="I32:J32"/>
    <mergeCell ref="C28:D28"/>
    <mergeCell ref="G28:H28"/>
    <mergeCell ref="I28:J28"/>
    <mergeCell ref="C29:D29"/>
    <mergeCell ref="G29:H29"/>
    <mergeCell ref="C20:D20"/>
    <mergeCell ref="G20:H20"/>
    <mergeCell ref="I20:J20"/>
    <mergeCell ref="C21:D21"/>
    <mergeCell ref="C24:D24"/>
    <mergeCell ref="G21:H21"/>
    <mergeCell ref="I21:J21"/>
    <mergeCell ref="C22:D22"/>
    <mergeCell ref="G22:H22"/>
    <mergeCell ref="I22:J22"/>
    <mergeCell ref="C23:D23"/>
    <mergeCell ref="G23:H23"/>
    <mergeCell ref="I23:J23"/>
    <mergeCell ref="I30:J30"/>
    <mergeCell ref="A39:B39"/>
    <mergeCell ref="A40:B40"/>
    <mergeCell ref="A41:B41"/>
    <mergeCell ref="A42:B42"/>
    <mergeCell ref="A43:B43"/>
    <mergeCell ref="I24:J24"/>
    <mergeCell ref="C25:D25"/>
    <mergeCell ref="G25:H25"/>
    <mergeCell ref="I25:J25"/>
    <mergeCell ref="I55:J55"/>
    <mergeCell ref="A37:H37"/>
    <mergeCell ref="A38:J38"/>
    <mergeCell ref="I29:J29"/>
    <mergeCell ref="C30:D30"/>
    <mergeCell ref="G30:H30"/>
    <mergeCell ref="C26:D26"/>
    <mergeCell ref="G26:H26"/>
    <mergeCell ref="I26:J26"/>
    <mergeCell ref="C27:D27"/>
    <mergeCell ref="G27:H27"/>
    <mergeCell ref="I27:J27"/>
    <mergeCell ref="C33:D33"/>
    <mergeCell ref="C34:D34"/>
    <mergeCell ref="G33:H33"/>
    <mergeCell ref="I33:J33"/>
    <mergeCell ref="G34:H34"/>
    <mergeCell ref="I34:J34"/>
    <mergeCell ref="E12:F34"/>
    <mergeCell ref="A12:B34"/>
    <mergeCell ref="C31:D31"/>
    <mergeCell ref="G31:H31"/>
    <mergeCell ref="I31:J31"/>
    <mergeCell ref="G24:H24"/>
    <mergeCell ref="I56:J57"/>
    <mergeCell ref="A59:H59"/>
    <mergeCell ref="I59:J59"/>
    <mergeCell ref="A60:J60"/>
    <mergeCell ref="A61:B61"/>
    <mergeCell ref="C61:D61"/>
    <mergeCell ref="E61:F61"/>
    <mergeCell ref="G61:H61"/>
    <mergeCell ref="I61:J61"/>
    <mergeCell ref="I64:J64"/>
    <mergeCell ref="C65:D65"/>
    <mergeCell ref="G65:H65"/>
    <mergeCell ref="I65:J65"/>
    <mergeCell ref="C66:D66"/>
    <mergeCell ref="G66:H66"/>
    <mergeCell ref="I66:J66"/>
    <mergeCell ref="C62:D62"/>
    <mergeCell ref="G62:H62"/>
    <mergeCell ref="I62:J62"/>
    <mergeCell ref="C63:D63"/>
    <mergeCell ref="G63:H63"/>
    <mergeCell ref="I63:J63"/>
    <mergeCell ref="C64:D64"/>
    <mergeCell ref="G64:H64"/>
    <mergeCell ref="I69:J69"/>
    <mergeCell ref="C70:D70"/>
    <mergeCell ref="G70:H70"/>
    <mergeCell ref="I70:J70"/>
    <mergeCell ref="C71:D71"/>
    <mergeCell ref="G71:H71"/>
    <mergeCell ref="C67:D67"/>
    <mergeCell ref="G67:H67"/>
    <mergeCell ref="I67:J67"/>
    <mergeCell ref="C68:D68"/>
    <mergeCell ref="G68:H68"/>
    <mergeCell ref="I68:J68"/>
    <mergeCell ref="I74:J74"/>
    <mergeCell ref="C75:D75"/>
    <mergeCell ref="G75:H75"/>
    <mergeCell ref="I75:J75"/>
    <mergeCell ref="I71:J71"/>
    <mergeCell ref="C72:D72"/>
    <mergeCell ref="G72:H72"/>
    <mergeCell ref="I72:J72"/>
    <mergeCell ref="C73:D73"/>
    <mergeCell ref="G73:H73"/>
    <mergeCell ref="I73:J73"/>
    <mergeCell ref="C78:D78"/>
    <mergeCell ref="G78:H78"/>
    <mergeCell ref="I78:J78"/>
    <mergeCell ref="I79:J79"/>
    <mergeCell ref="C80:D80"/>
    <mergeCell ref="G80:H80"/>
    <mergeCell ref="C76:D76"/>
    <mergeCell ref="G76:H76"/>
    <mergeCell ref="I76:J76"/>
    <mergeCell ref="C77:D77"/>
    <mergeCell ref="G77:H77"/>
    <mergeCell ref="I77:J77"/>
    <mergeCell ref="I105:J105"/>
    <mergeCell ref="A87:H87"/>
    <mergeCell ref="A88:J88"/>
    <mergeCell ref="I80:J80"/>
    <mergeCell ref="C81:D81"/>
    <mergeCell ref="G81:H81"/>
    <mergeCell ref="I81:J81"/>
    <mergeCell ref="C82:D82"/>
    <mergeCell ref="G82:H82"/>
    <mergeCell ref="I82:J82"/>
    <mergeCell ref="I106:J107"/>
    <mergeCell ref="A109:H109"/>
    <mergeCell ref="I109:J109"/>
    <mergeCell ref="A110:J110"/>
    <mergeCell ref="A111:B111"/>
    <mergeCell ref="C111:D111"/>
    <mergeCell ref="E111:F111"/>
    <mergeCell ref="G111:H111"/>
    <mergeCell ref="I111:J111"/>
    <mergeCell ref="I114:J114"/>
    <mergeCell ref="C115:D115"/>
    <mergeCell ref="G115:H115"/>
    <mergeCell ref="I115:J115"/>
    <mergeCell ref="C116:D116"/>
    <mergeCell ref="G116:H116"/>
    <mergeCell ref="I116:J116"/>
    <mergeCell ref="C112:D112"/>
    <mergeCell ref="G112:H112"/>
    <mergeCell ref="I112:J112"/>
    <mergeCell ref="C113:D113"/>
    <mergeCell ref="G113:H113"/>
    <mergeCell ref="I113:J113"/>
    <mergeCell ref="C114:D114"/>
    <mergeCell ref="G114:H114"/>
    <mergeCell ref="C119:D119"/>
    <mergeCell ref="G119:H119"/>
    <mergeCell ref="I119:J119"/>
    <mergeCell ref="C120:D120"/>
    <mergeCell ref="G120:H120"/>
    <mergeCell ref="I120:J120"/>
    <mergeCell ref="C121:D121"/>
    <mergeCell ref="G121:H121"/>
    <mergeCell ref="C117:D117"/>
    <mergeCell ref="G117:H117"/>
    <mergeCell ref="I117:J117"/>
    <mergeCell ref="C118:D118"/>
    <mergeCell ref="G118:H118"/>
    <mergeCell ref="I118:J118"/>
    <mergeCell ref="C124:D124"/>
    <mergeCell ref="G124:H124"/>
    <mergeCell ref="I124:J124"/>
    <mergeCell ref="C125:D125"/>
    <mergeCell ref="G125:H125"/>
    <mergeCell ref="I125:J125"/>
    <mergeCell ref="I121:J121"/>
    <mergeCell ref="C122:D122"/>
    <mergeCell ref="G122:H122"/>
    <mergeCell ref="I122:J122"/>
    <mergeCell ref="C123:D123"/>
    <mergeCell ref="G123:H123"/>
    <mergeCell ref="I123:J123"/>
    <mergeCell ref="I128:J128"/>
    <mergeCell ref="C129:D129"/>
    <mergeCell ref="G129:H129"/>
    <mergeCell ref="I129:J129"/>
    <mergeCell ref="C130:D130"/>
    <mergeCell ref="G130:H130"/>
    <mergeCell ref="C126:D126"/>
    <mergeCell ref="G126:H126"/>
    <mergeCell ref="I126:J126"/>
    <mergeCell ref="C127:D127"/>
    <mergeCell ref="G127:H127"/>
    <mergeCell ref="I127:J127"/>
    <mergeCell ref="A144:B144"/>
    <mergeCell ref="A139:B139"/>
    <mergeCell ref="A140:B140"/>
    <mergeCell ref="A141:B141"/>
    <mergeCell ref="A142:B142"/>
    <mergeCell ref="A143:B143"/>
    <mergeCell ref="A44:B44"/>
    <mergeCell ref="A94:B94"/>
    <mergeCell ref="A106:H107"/>
    <mergeCell ref="A89:B89"/>
    <mergeCell ref="A90:B90"/>
    <mergeCell ref="A91:B91"/>
    <mergeCell ref="A92:B92"/>
    <mergeCell ref="A93:B93"/>
    <mergeCell ref="C79:D79"/>
    <mergeCell ref="G79:H79"/>
    <mergeCell ref="C74:D74"/>
    <mergeCell ref="G74:H74"/>
    <mergeCell ref="C69:D69"/>
    <mergeCell ref="G69:H69"/>
    <mergeCell ref="A56:H57"/>
    <mergeCell ref="A137:H137"/>
    <mergeCell ref="A138:J138"/>
    <mergeCell ref="I130:J130"/>
    <mergeCell ref="C133:D133"/>
    <mergeCell ref="C134:D134"/>
    <mergeCell ref="G133:H133"/>
    <mergeCell ref="I133:J133"/>
    <mergeCell ref="G134:H134"/>
    <mergeCell ref="I134:J134"/>
    <mergeCell ref="E112:F134"/>
    <mergeCell ref="A112:B134"/>
    <mergeCell ref="C83:D83"/>
    <mergeCell ref="C84:D84"/>
    <mergeCell ref="G83:H83"/>
    <mergeCell ref="I83:J83"/>
    <mergeCell ref="G84:H84"/>
    <mergeCell ref="I84:J84"/>
    <mergeCell ref="E62:F84"/>
    <mergeCell ref="A62:B84"/>
    <mergeCell ref="C131:D131"/>
    <mergeCell ref="G131:H131"/>
    <mergeCell ref="I131:J131"/>
    <mergeCell ref="C132:D132"/>
    <mergeCell ref="G132:H132"/>
    <mergeCell ref="I132:J132"/>
    <mergeCell ref="C128:D128"/>
    <mergeCell ref="G128:H128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3" ht="15" customHeight="1" x14ac:dyDescent="0.2"/>
    <row r="2" spans="1:13" ht="15" customHeight="1" x14ac:dyDescent="0.2"/>
    <row r="3" spans="1:13" ht="15" customHeight="1" x14ac:dyDescent="0.2"/>
    <row r="4" spans="1:13" ht="15" customHeight="1" x14ac:dyDescent="0.2"/>
    <row r="5" spans="1:13" ht="15" customHeight="1" thickBot="1" x14ac:dyDescent="0.25">
      <c r="I5" s="54" t="s">
        <v>2</v>
      </c>
      <c r="J5" s="54"/>
    </row>
    <row r="6" spans="1:13" ht="15" customHeight="1" x14ac:dyDescent="0.2">
      <c r="A6" s="55" t="s">
        <v>100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3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3" ht="15" customHeight="1" x14ac:dyDescent="0.2">
      <c r="I8" s="30">
        <f>1*1.03</f>
        <v>1.03</v>
      </c>
      <c r="J8" s="30">
        <f>1-I6</f>
        <v>1</v>
      </c>
    </row>
    <row r="9" spans="1:13" ht="15" customHeight="1" x14ac:dyDescent="0.25">
      <c r="A9" s="65" t="s">
        <v>101</v>
      </c>
      <c r="B9" s="65"/>
      <c r="C9" s="65"/>
      <c r="D9" s="65"/>
      <c r="E9" s="65"/>
      <c r="F9" s="65"/>
      <c r="G9" s="65"/>
      <c r="H9" s="65"/>
      <c r="I9" s="73" t="s">
        <v>72</v>
      </c>
      <c r="J9" s="73"/>
    </row>
    <row r="10" spans="1:13" ht="15" customHeight="1" x14ac:dyDescent="0.2">
      <c r="A10" s="61" t="s">
        <v>48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3" ht="15" customHeight="1" x14ac:dyDescent="0.25">
      <c r="A11" s="68" t="s">
        <v>4</v>
      </c>
      <c r="B11" s="68"/>
      <c r="C11" s="68" t="s">
        <v>74</v>
      </c>
      <c r="D11" s="68"/>
      <c r="E11" s="68" t="s">
        <v>44</v>
      </c>
      <c r="F11" s="68"/>
      <c r="G11" s="68" t="s">
        <v>186</v>
      </c>
      <c r="H11" s="68"/>
      <c r="I11" s="68" t="s">
        <v>41</v>
      </c>
      <c r="J11" s="68"/>
    </row>
    <row r="12" spans="1:13" ht="15" customHeight="1" x14ac:dyDescent="0.2">
      <c r="A12" s="81" t="s">
        <v>102</v>
      </c>
      <c r="B12" s="81"/>
      <c r="C12" s="90" t="s">
        <v>76</v>
      </c>
      <c r="D12" s="91"/>
      <c r="E12" s="82">
        <v>1000</v>
      </c>
      <c r="F12" s="82"/>
      <c r="G12" s="63">
        <f>MROUND(3890*$I$8,5)</f>
        <v>4005</v>
      </c>
      <c r="H12" s="63"/>
      <c r="I12" s="64">
        <f t="shared" ref="I12:I26" si="0">ROUND(G12*$J$8,0)</f>
        <v>4005</v>
      </c>
      <c r="J12" s="64"/>
      <c r="L12" s="22"/>
      <c r="M12" s="22"/>
    </row>
    <row r="13" spans="1:13" ht="15" customHeight="1" x14ac:dyDescent="0.2">
      <c r="A13" s="81"/>
      <c r="B13" s="81"/>
      <c r="C13" s="90" t="s">
        <v>77</v>
      </c>
      <c r="D13" s="91"/>
      <c r="E13" s="82"/>
      <c r="F13" s="82"/>
      <c r="G13" s="63">
        <f>MROUND(4285*$I$8,5)</f>
        <v>4415</v>
      </c>
      <c r="H13" s="63"/>
      <c r="I13" s="64">
        <f t="shared" si="0"/>
        <v>4415</v>
      </c>
      <c r="J13" s="64"/>
      <c r="L13" s="22"/>
      <c r="M13" s="22"/>
    </row>
    <row r="14" spans="1:13" ht="15" customHeight="1" x14ac:dyDescent="0.2">
      <c r="A14" s="81"/>
      <c r="B14" s="81"/>
      <c r="C14" s="90" t="s">
        <v>78</v>
      </c>
      <c r="D14" s="91"/>
      <c r="E14" s="82"/>
      <c r="F14" s="82"/>
      <c r="G14" s="63">
        <f>MROUND(4550*$I$8,5)</f>
        <v>4685</v>
      </c>
      <c r="H14" s="63"/>
      <c r="I14" s="64">
        <f t="shared" si="0"/>
        <v>4685</v>
      </c>
      <c r="J14" s="64"/>
      <c r="L14" s="22"/>
      <c r="M14" s="22"/>
    </row>
    <row r="15" spans="1:13" ht="15" customHeight="1" x14ac:dyDescent="0.2">
      <c r="A15" s="81"/>
      <c r="B15" s="81"/>
      <c r="C15" s="90" t="s">
        <v>79</v>
      </c>
      <c r="D15" s="91"/>
      <c r="E15" s="82"/>
      <c r="F15" s="82"/>
      <c r="G15" s="63">
        <f>MROUND(5035*$I$8,5)</f>
        <v>5185</v>
      </c>
      <c r="H15" s="63"/>
      <c r="I15" s="64">
        <f t="shared" si="0"/>
        <v>5185</v>
      </c>
      <c r="J15" s="64"/>
      <c r="L15" s="22"/>
      <c r="M15" s="22"/>
    </row>
    <row r="16" spans="1:13" ht="15" customHeight="1" x14ac:dyDescent="0.2">
      <c r="A16" s="81"/>
      <c r="B16" s="81"/>
      <c r="C16" s="90" t="s">
        <v>80</v>
      </c>
      <c r="D16" s="91"/>
      <c r="E16" s="82"/>
      <c r="F16" s="82"/>
      <c r="G16" s="63">
        <f>MROUND(5330*$I$8,5)</f>
        <v>5490</v>
      </c>
      <c r="H16" s="63"/>
      <c r="I16" s="64">
        <f t="shared" si="0"/>
        <v>5490</v>
      </c>
      <c r="J16" s="64"/>
      <c r="L16" s="22"/>
      <c r="M16" s="22"/>
    </row>
    <row r="17" spans="1:13" ht="15" customHeight="1" x14ac:dyDescent="0.2">
      <c r="A17" s="81"/>
      <c r="B17" s="81"/>
      <c r="C17" s="90" t="s">
        <v>81</v>
      </c>
      <c r="D17" s="91"/>
      <c r="E17" s="82"/>
      <c r="F17" s="82"/>
      <c r="G17" s="63">
        <f>MROUND(5545*$I$8,5)</f>
        <v>5710</v>
      </c>
      <c r="H17" s="63"/>
      <c r="I17" s="64">
        <f t="shared" si="0"/>
        <v>5710</v>
      </c>
      <c r="J17" s="64"/>
      <c r="L17" s="22"/>
      <c r="M17" s="22"/>
    </row>
    <row r="18" spans="1:13" ht="15" customHeight="1" x14ac:dyDescent="0.2">
      <c r="A18" s="81"/>
      <c r="B18" s="81"/>
      <c r="C18" s="90" t="s">
        <v>82</v>
      </c>
      <c r="D18" s="91"/>
      <c r="E18" s="82"/>
      <c r="F18" s="82"/>
      <c r="G18" s="63">
        <f>MROUND(6365*$I$8,5)</f>
        <v>6555</v>
      </c>
      <c r="H18" s="63"/>
      <c r="I18" s="64">
        <f t="shared" si="0"/>
        <v>6555</v>
      </c>
      <c r="J18" s="64"/>
      <c r="L18" s="22"/>
      <c r="M18" s="22"/>
    </row>
    <row r="19" spans="1:13" ht="15" customHeight="1" x14ac:dyDescent="0.2">
      <c r="A19" s="81"/>
      <c r="B19" s="81"/>
      <c r="C19" s="90" t="s">
        <v>83</v>
      </c>
      <c r="D19" s="91"/>
      <c r="E19" s="82"/>
      <c r="F19" s="82"/>
      <c r="G19" s="63">
        <f>MROUND(6945*$I$8,5)</f>
        <v>7155</v>
      </c>
      <c r="H19" s="63"/>
      <c r="I19" s="64">
        <f t="shared" si="0"/>
        <v>7155</v>
      </c>
      <c r="J19" s="64"/>
      <c r="L19" s="22"/>
      <c r="M19" s="22"/>
    </row>
    <row r="20" spans="1:13" ht="15" customHeight="1" x14ac:dyDescent="0.2">
      <c r="A20" s="81"/>
      <c r="B20" s="81"/>
      <c r="C20" s="90" t="s">
        <v>84</v>
      </c>
      <c r="D20" s="91"/>
      <c r="E20" s="82"/>
      <c r="F20" s="82"/>
      <c r="G20" s="63">
        <f>MROUND(8785*$I$8,5)</f>
        <v>9050</v>
      </c>
      <c r="H20" s="63"/>
      <c r="I20" s="64">
        <f t="shared" si="0"/>
        <v>9050</v>
      </c>
      <c r="J20" s="64"/>
      <c r="L20" s="22"/>
      <c r="M20" s="22"/>
    </row>
    <row r="21" spans="1:13" ht="15" customHeight="1" x14ac:dyDescent="0.2">
      <c r="A21" s="81"/>
      <c r="B21" s="81"/>
      <c r="C21" s="90" t="s">
        <v>85</v>
      </c>
      <c r="D21" s="91"/>
      <c r="E21" s="82"/>
      <c r="F21" s="82"/>
      <c r="G21" s="63">
        <f>MROUND(10230*$I$8,5)</f>
        <v>10535</v>
      </c>
      <c r="H21" s="63"/>
      <c r="I21" s="64">
        <f t="shared" si="0"/>
        <v>10535</v>
      </c>
      <c r="J21" s="64"/>
      <c r="L21" s="22"/>
      <c r="M21" s="22"/>
    </row>
    <row r="22" spans="1:13" ht="15" customHeight="1" x14ac:dyDescent="0.2">
      <c r="A22" s="81"/>
      <c r="B22" s="81"/>
      <c r="C22" s="90" t="s">
        <v>86</v>
      </c>
      <c r="D22" s="91"/>
      <c r="E22" s="82"/>
      <c r="F22" s="82"/>
      <c r="G22" s="63">
        <f>MROUND(12855*$I$8,5)</f>
        <v>13240</v>
      </c>
      <c r="H22" s="63"/>
      <c r="I22" s="64">
        <f t="shared" si="0"/>
        <v>13240</v>
      </c>
      <c r="J22" s="64"/>
      <c r="L22" s="22"/>
      <c r="M22" s="22"/>
    </row>
    <row r="23" spans="1:13" ht="15" customHeight="1" x14ac:dyDescent="0.2">
      <c r="A23" s="81"/>
      <c r="B23" s="81"/>
      <c r="C23" s="90" t="s">
        <v>87</v>
      </c>
      <c r="D23" s="91"/>
      <c r="E23" s="82"/>
      <c r="F23" s="82"/>
      <c r="G23" s="63">
        <f>MROUND(13580*$I$8,5)</f>
        <v>13985</v>
      </c>
      <c r="H23" s="63"/>
      <c r="I23" s="64">
        <f t="shared" si="0"/>
        <v>13985</v>
      </c>
      <c r="J23" s="64"/>
      <c r="L23" s="22"/>
      <c r="M23" s="22"/>
    </row>
    <row r="24" spans="1:13" ht="15" customHeight="1" x14ac:dyDescent="0.2">
      <c r="A24" s="81"/>
      <c r="B24" s="81"/>
      <c r="C24" s="90" t="s">
        <v>88</v>
      </c>
      <c r="D24" s="91"/>
      <c r="E24" s="82"/>
      <c r="F24" s="82"/>
      <c r="G24" s="63">
        <f>MROUND(14165*$I$8,5)</f>
        <v>14590</v>
      </c>
      <c r="H24" s="63"/>
      <c r="I24" s="64">
        <f t="shared" si="0"/>
        <v>14590</v>
      </c>
      <c r="J24" s="64"/>
      <c r="L24" s="22"/>
      <c r="M24" s="22"/>
    </row>
    <row r="25" spans="1:13" ht="15" customHeight="1" x14ac:dyDescent="0.2">
      <c r="A25" s="81"/>
      <c r="B25" s="81"/>
      <c r="C25" s="90" t="s">
        <v>89</v>
      </c>
      <c r="D25" s="91"/>
      <c r="E25" s="82"/>
      <c r="F25" s="82"/>
      <c r="G25" s="63">
        <f>MROUND(16165*$I$8,5)</f>
        <v>16650</v>
      </c>
      <c r="H25" s="63"/>
      <c r="I25" s="64">
        <f t="shared" ref="I25" si="1">ROUND(G25*$J$8,0)</f>
        <v>16650</v>
      </c>
      <c r="J25" s="64"/>
      <c r="L25" s="22"/>
      <c r="M25" s="22"/>
    </row>
    <row r="26" spans="1:13" ht="15" customHeight="1" x14ac:dyDescent="0.2">
      <c r="A26" s="81"/>
      <c r="B26" s="81"/>
      <c r="C26" s="90" t="s">
        <v>90</v>
      </c>
      <c r="D26" s="91"/>
      <c r="E26" s="82"/>
      <c r="F26" s="82"/>
      <c r="G26" s="63">
        <f>MROUND(17685*$I$8,5)</f>
        <v>18215</v>
      </c>
      <c r="H26" s="63"/>
      <c r="I26" s="64">
        <f t="shared" si="0"/>
        <v>18215</v>
      </c>
      <c r="J26" s="64"/>
      <c r="L26" s="22"/>
      <c r="M26" s="22"/>
    </row>
    <row r="27" spans="1:13" ht="15" customHeight="1" x14ac:dyDescent="0.2">
      <c r="A27" s="81"/>
      <c r="B27" s="81"/>
      <c r="C27" s="90" t="s">
        <v>235</v>
      </c>
      <c r="D27" s="91"/>
      <c r="E27" s="82"/>
      <c r="F27" s="82"/>
      <c r="G27" s="63">
        <f>MROUND(24500*$I$8,5)</f>
        <v>25235</v>
      </c>
      <c r="H27" s="63"/>
      <c r="I27" s="64">
        <f t="shared" ref="I27:I28" si="2">ROUND(G27*$J$8,0)</f>
        <v>25235</v>
      </c>
      <c r="J27" s="64"/>
    </row>
    <row r="28" spans="1:13" ht="15" customHeight="1" x14ac:dyDescent="0.2">
      <c r="A28" s="81"/>
      <c r="B28" s="81"/>
      <c r="C28" s="90" t="s">
        <v>236</v>
      </c>
      <c r="D28" s="91"/>
      <c r="E28" s="82"/>
      <c r="F28" s="82"/>
      <c r="G28" s="63">
        <f>MROUND(28500*$I$8,5)</f>
        <v>29355</v>
      </c>
      <c r="H28" s="63"/>
      <c r="I28" s="64">
        <f t="shared" si="2"/>
        <v>29355</v>
      </c>
      <c r="J28" s="64"/>
    </row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spans="1:10" ht="15" customHeight="1" x14ac:dyDescent="0.2"/>
    <row r="34" spans="1:10" ht="15" customHeight="1" x14ac:dyDescent="0.2">
      <c r="A34" s="3"/>
      <c r="B34" s="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3"/>
      <c r="B35" s="5"/>
      <c r="C35" s="15"/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3"/>
      <c r="B36" s="5"/>
      <c r="C36" s="15"/>
      <c r="D36" s="15"/>
      <c r="E36" s="15"/>
      <c r="F36" s="15"/>
      <c r="G36" s="15"/>
      <c r="H36" s="15"/>
      <c r="I36" s="15"/>
      <c r="J36" s="15"/>
    </row>
    <row r="37" spans="1:10" ht="15" customHeight="1" x14ac:dyDescent="0.25">
      <c r="A37" s="65" t="s">
        <v>98</v>
      </c>
      <c r="B37" s="65"/>
      <c r="C37" s="65"/>
      <c r="D37" s="65"/>
      <c r="E37" s="65"/>
      <c r="F37" s="65"/>
      <c r="G37" s="65"/>
      <c r="H37" s="65"/>
      <c r="I37" s="21">
        <v>2</v>
      </c>
      <c r="J37" s="21">
        <v>0.65</v>
      </c>
    </row>
    <row r="38" spans="1:10" ht="15" customHeight="1" x14ac:dyDescent="0.2">
      <c r="A38" s="61" t="s">
        <v>99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5" customHeight="1" x14ac:dyDescent="0.2">
      <c r="A39" s="83" t="s">
        <v>96</v>
      </c>
      <c r="B39" s="84"/>
      <c r="C39" s="9" t="s">
        <v>91</v>
      </c>
      <c r="D39" s="9" t="s">
        <v>75</v>
      </c>
      <c r="E39" s="9" t="s">
        <v>92</v>
      </c>
      <c r="F39" s="9" t="s">
        <v>93</v>
      </c>
      <c r="G39" s="9" t="s">
        <v>94</v>
      </c>
      <c r="H39" s="9" t="s">
        <v>95</v>
      </c>
      <c r="I39" s="9" t="s">
        <v>76</v>
      </c>
      <c r="J39" s="9" t="s">
        <v>77</v>
      </c>
    </row>
    <row r="40" spans="1:10" ht="15" customHeight="1" x14ac:dyDescent="0.2">
      <c r="A40" s="74" t="s">
        <v>184</v>
      </c>
      <c r="B40" s="75"/>
      <c r="C40" s="26">
        <f>MROUND(345*$I$8*$J$8,5)</f>
        <v>355</v>
      </c>
      <c r="D40" s="26">
        <f>MROUND(365*$I$8*$J$8,5)</f>
        <v>375</v>
      </c>
      <c r="E40" s="26">
        <f>MROUND(385*$I$8*$J$8,5)</f>
        <v>395</v>
      </c>
      <c r="F40" s="26">
        <f>MROUND(410*$I$8*$J$8,5)</f>
        <v>420</v>
      </c>
      <c r="G40" s="26">
        <f>MROUND(420*$I$8*$J$8,5)</f>
        <v>435</v>
      </c>
      <c r="H40" s="26">
        <f>MROUND(440*$I$8*$J$8,5)</f>
        <v>455</v>
      </c>
      <c r="I40" s="26">
        <f>MROUND(455*$I$8*$J$8,5)</f>
        <v>470</v>
      </c>
      <c r="J40" s="26">
        <f>MROUND(470*$I$8*$J$8,5)</f>
        <v>485</v>
      </c>
    </row>
    <row r="41" spans="1:10" ht="15" customHeight="1" x14ac:dyDescent="0.2">
      <c r="A41" s="83" t="s">
        <v>96</v>
      </c>
      <c r="B41" s="84"/>
      <c r="C41" s="9" t="s">
        <v>78</v>
      </c>
      <c r="D41" s="9" t="s">
        <v>79</v>
      </c>
      <c r="E41" s="9" t="s">
        <v>80</v>
      </c>
      <c r="F41" s="9" t="s">
        <v>81</v>
      </c>
      <c r="G41" s="9" t="s">
        <v>82</v>
      </c>
      <c r="H41" s="9" t="s">
        <v>83</v>
      </c>
      <c r="I41" s="9" t="s">
        <v>84</v>
      </c>
      <c r="J41" s="9" t="s">
        <v>85</v>
      </c>
    </row>
    <row r="42" spans="1:10" ht="15" customHeight="1" x14ac:dyDescent="0.2">
      <c r="A42" s="74" t="s">
        <v>184</v>
      </c>
      <c r="B42" s="75"/>
      <c r="C42" s="26">
        <f>MROUND(590*$I$8*$J$8,5)</f>
        <v>610</v>
      </c>
      <c r="D42" s="26">
        <f>MROUND(605*$I$8*$J$8,5)</f>
        <v>625</v>
      </c>
      <c r="E42" s="26">
        <f>MROUND(635*$I$8*$J$8,5)</f>
        <v>655</v>
      </c>
      <c r="F42" s="26">
        <f>MROUND(660*$I$8*$J$8,5)</f>
        <v>680</v>
      </c>
      <c r="G42" s="26">
        <f>MROUND(850*$I$8*$J$8,5)</f>
        <v>875</v>
      </c>
      <c r="H42" s="26">
        <f>MROUND(1035*$I$8*$J$8,5)</f>
        <v>1065</v>
      </c>
      <c r="I42" s="26">
        <f>MROUND(1280*$I$8*$J$8,5)</f>
        <v>1320</v>
      </c>
      <c r="J42" s="26">
        <f>MROUND(1420*$I$8*$J$8,5)</f>
        <v>1465</v>
      </c>
    </row>
    <row r="43" spans="1:10" ht="15" customHeight="1" x14ac:dyDescent="0.2">
      <c r="A43" s="83" t="s">
        <v>96</v>
      </c>
      <c r="B43" s="84"/>
      <c r="C43" s="9" t="s">
        <v>86</v>
      </c>
      <c r="D43" s="9" t="s">
        <v>87</v>
      </c>
      <c r="E43" s="9" t="s">
        <v>88</v>
      </c>
      <c r="F43" s="9" t="s">
        <v>89</v>
      </c>
      <c r="G43" s="9" t="s">
        <v>90</v>
      </c>
      <c r="H43" s="9" t="s">
        <v>235</v>
      </c>
      <c r="I43" s="9" t="s">
        <v>236</v>
      </c>
      <c r="J43" s="9" t="s">
        <v>238</v>
      </c>
    </row>
    <row r="44" spans="1:10" ht="15" customHeight="1" x14ac:dyDescent="0.2">
      <c r="A44" s="74" t="s">
        <v>184</v>
      </c>
      <c r="B44" s="75"/>
      <c r="C44" s="26">
        <f>MROUND(1490*$I$8*$J$8,5)</f>
        <v>1535</v>
      </c>
      <c r="D44" s="26">
        <f>MROUND(1530*$I$8*$J$8,5)</f>
        <v>1575</v>
      </c>
      <c r="E44" s="26">
        <f>MROUND(1950*$I$8*$J$8,5)</f>
        <v>2010</v>
      </c>
      <c r="F44" s="26">
        <f>MROUND(2060*$I$8*$J$8,5)</f>
        <v>2120</v>
      </c>
      <c r="G44" s="26">
        <f>MROUND(2170*$I$8*$J$8,5)</f>
        <v>2235</v>
      </c>
      <c r="H44" s="26">
        <f>MROUND(6020*$I$8*$J$8,5)</f>
        <v>6200</v>
      </c>
      <c r="I44" s="26">
        <f>MROUND(8490*$I$8*$J$8,5)</f>
        <v>8745</v>
      </c>
      <c r="J44" s="26" t="s">
        <v>237</v>
      </c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3" t="s">
        <v>32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A47" s="3" t="s">
        <v>33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35</v>
      </c>
      <c r="B48" s="3"/>
      <c r="C48" s="3"/>
      <c r="D48" s="3"/>
      <c r="E48" s="3"/>
      <c r="F48" s="3"/>
      <c r="G48" s="3"/>
      <c r="H48" s="3"/>
      <c r="I48" s="3"/>
      <c r="J48" s="3"/>
    </row>
    <row r="49" spans="1:13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3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3" ht="15" customHeight="1" x14ac:dyDescent="0.2"/>
    <row r="55" spans="1:13" ht="15" thickBot="1" x14ac:dyDescent="0.25">
      <c r="I55" s="54" t="s">
        <v>2</v>
      </c>
      <c r="J55" s="54"/>
    </row>
    <row r="56" spans="1:13" ht="15" customHeight="1" x14ac:dyDescent="0.2">
      <c r="A56" s="55" t="s">
        <v>100</v>
      </c>
      <c r="B56" s="55"/>
      <c r="C56" s="55"/>
      <c r="D56" s="55"/>
      <c r="E56" s="55"/>
      <c r="F56" s="55"/>
      <c r="G56" s="55"/>
      <c r="H56" s="56"/>
      <c r="I56" s="69">
        <f>I6</f>
        <v>0</v>
      </c>
      <c r="J56" s="70"/>
    </row>
    <row r="57" spans="1:13" ht="15" customHeight="1" thickBot="1" x14ac:dyDescent="0.25">
      <c r="A57" s="55"/>
      <c r="B57" s="55"/>
      <c r="C57" s="55"/>
      <c r="D57" s="55"/>
      <c r="E57" s="55"/>
      <c r="F57" s="55"/>
      <c r="G57" s="55"/>
      <c r="H57" s="56"/>
      <c r="I57" s="71"/>
      <c r="J57" s="72"/>
    </row>
    <row r="58" spans="1:13" ht="15" customHeight="1" x14ac:dyDescent="0.2">
      <c r="J58" s="30">
        <f>1-I56</f>
        <v>1</v>
      </c>
    </row>
    <row r="59" spans="1:13" ht="15" customHeight="1" x14ac:dyDescent="0.25">
      <c r="A59" s="65" t="s">
        <v>101</v>
      </c>
      <c r="B59" s="65"/>
      <c r="C59" s="65"/>
      <c r="D59" s="65"/>
      <c r="E59" s="65"/>
      <c r="F59" s="65"/>
      <c r="G59" s="65"/>
      <c r="H59" s="65"/>
      <c r="I59" s="73" t="s">
        <v>72</v>
      </c>
      <c r="J59" s="73"/>
    </row>
    <row r="60" spans="1:13" ht="15" customHeight="1" x14ac:dyDescent="0.2">
      <c r="A60" s="61" t="s">
        <v>48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3" ht="15" customHeight="1" x14ac:dyDescent="0.25">
      <c r="A61" s="68" t="s">
        <v>4</v>
      </c>
      <c r="B61" s="68"/>
      <c r="C61" s="68" t="s">
        <v>74</v>
      </c>
      <c r="D61" s="68"/>
      <c r="E61" s="68" t="s">
        <v>44</v>
      </c>
      <c r="F61" s="68"/>
      <c r="G61" s="68" t="s">
        <v>186</v>
      </c>
      <c r="H61" s="68"/>
      <c r="I61" s="68" t="s">
        <v>41</v>
      </c>
      <c r="J61" s="68"/>
    </row>
    <row r="62" spans="1:13" ht="15" customHeight="1" x14ac:dyDescent="0.2">
      <c r="A62" s="81" t="s">
        <v>102</v>
      </c>
      <c r="B62" s="81"/>
      <c r="C62" s="90" t="s">
        <v>76</v>
      </c>
      <c r="D62" s="91"/>
      <c r="E62" s="82">
        <v>1500</v>
      </c>
      <c r="F62" s="82"/>
      <c r="G62" s="96">
        <f>MROUND(5090*$I$8,5)</f>
        <v>5245</v>
      </c>
      <c r="H62" s="63"/>
      <c r="I62" s="64">
        <f t="shared" ref="I62:I78" si="3">ROUND(G62*$J$58,0)</f>
        <v>5245</v>
      </c>
      <c r="J62" s="64"/>
      <c r="L62" s="22"/>
      <c r="M62" s="22"/>
    </row>
    <row r="63" spans="1:13" ht="15" customHeight="1" x14ac:dyDescent="0.2">
      <c r="A63" s="81"/>
      <c r="B63" s="81"/>
      <c r="C63" s="90" t="s">
        <v>77</v>
      </c>
      <c r="D63" s="91"/>
      <c r="E63" s="82"/>
      <c r="F63" s="82"/>
      <c r="G63" s="96">
        <f>MROUND(5495*$I$8,5)</f>
        <v>5660</v>
      </c>
      <c r="H63" s="63"/>
      <c r="I63" s="64">
        <f t="shared" si="3"/>
        <v>5660</v>
      </c>
      <c r="J63" s="64"/>
      <c r="L63" s="22"/>
      <c r="M63" s="22"/>
    </row>
    <row r="64" spans="1:13" ht="15" customHeight="1" x14ac:dyDescent="0.2">
      <c r="A64" s="81"/>
      <c r="B64" s="81"/>
      <c r="C64" s="90" t="s">
        <v>78</v>
      </c>
      <c r="D64" s="91"/>
      <c r="E64" s="82"/>
      <c r="F64" s="82"/>
      <c r="G64" s="96">
        <f>MROUND(5860*$I$8,5)</f>
        <v>6035</v>
      </c>
      <c r="H64" s="63"/>
      <c r="I64" s="64">
        <f t="shared" si="3"/>
        <v>6035</v>
      </c>
      <c r="J64" s="64"/>
      <c r="L64" s="22"/>
      <c r="M64" s="22"/>
    </row>
    <row r="65" spans="1:13" ht="15" customHeight="1" x14ac:dyDescent="0.2">
      <c r="A65" s="81"/>
      <c r="B65" s="81"/>
      <c r="C65" s="90" t="s">
        <v>79</v>
      </c>
      <c r="D65" s="91"/>
      <c r="E65" s="82"/>
      <c r="F65" s="82"/>
      <c r="G65" s="96">
        <f>MROUND(6540*$I$8,5)</f>
        <v>6735</v>
      </c>
      <c r="H65" s="63"/>
      <c r="I65" s="64">
        <f t="shared" si="3"/>
        <v>6735</v>
      </c>
      <c r="J65" s="64"/>
      <c r="L65" s="22"/>
      <c r="M65" s="22"/>
    </row>
    <row r="66" spans="1:13" ht="15" customHeight="1" x14ac:dyDescent="0.2">
      <c r="A66" s="81"/>
      <c r="B66" s="81"/>
      <c r="C66" s="90" t="s">
        <v>80</v>
      </c>
      <c r="D66" s="91"/>
      <c r="E66" s="82"/>
      <c r="F66" s="82"/>
      <c r="G66" s="96">
        <f>MROUND(6835*$I$8,5)</f>
        <v>7040</v>
      </c>
      <c r="H66" s="63"/>
      <c r="I66" s="64">
        <f t="shared" si="3"/>
        <v>7040</v>
      </c>
      <c r="J66" s="64"/>
      <c r="L66" s="22"/>
      <c r="M66" s="22"/>
    </row>
    <row r="67" spans="1:13" ht="15" customHeight="1" x14ac:dyDescent="0.2">
      <c r="A67" s="81"/>
      <c r="B67" s="81"/>
      <c r="C67" s="90" t="s">
        <v>81</v>
      </c>
      <c r="D67" s="91"/>
      <c r="E67" s="82"/>
      <c r="F67" s="82"/>
      <c r="G67" s="96">
        <f>MROUND(7215*$I$8,5)</f>
        <v>7430</v>
      </c>
      <c r="H67" s="63"/>
      <c r="I67" s="64">
        <f t="shared" si="3"/>
        <v>7430</v>
      </c>
      <c r="J67" s="64"/>
      <c r="L67" s="22"/>
      <c r="M67" s="22"/>
    </row>
    <row r="68" spans="1:13" ht="15" customHeight="1" x14ac:dyDescent="0.2">
      <c r="A68" s="81"/>
      <c r="B68" s="81"/>
      <c r="C68" s="90" t="s">
        <v>82</v>
      </c>
      <c r="D68" s="91"/>
      <c r="E68" s="82"/>
      <c r="F68" s="82"/>
      <c r="G68" s="96">
        <f>MROUND(8235*$I$8,5)</f>
        <v>8480</v>
      </c>
      <c r="H68" s="63"/>
      <c r="I68" s="64">
        <f t="shared" si="3"/>
        <v>8480</v>
      </c>
      <c r="J68" s="64"/>
      <c r="L68" s="22"/>
      <c r="M68" s="22"/>
    </row>
    <row r="69" spans="1:13" ht="15" customHeight="1" x14ac:dyDescent="0.2">
      <c r="A69" s="81"/>
      <c r="B69" s="81"/>
      <c r="C69" s="90" t="s">
        <v>83</v>
      </c>
      <c r="D69" s="91"/>
      <c r="E69" s="82"/>
      <c r="F69" s="82"/>
      <c r="G69" s="96">
        <f>MROUND(9040*$I$8,5)</f>
        <v>9310</v>
      </c>
      <c r="H69" s="63"/>
      <c r="I69" s="64">
        <f t="shared" si="3"/>
        <v>9310</v>
      </c>
      <c r="J69" s="64"/>
      <c r="L69" s="22"/>
      <c r="M69" s="22"/>
    </row>
    <row r="70" spans="1:13" ht="15" customHeight="1" x14ac:dyDescent="0.2">
      <c r="A70" s="81"/>
      <c r="B70" s="81"/>
      <c r="C70" s="90" t="s">
        <v>84</v>
      </c>
      <c r="D70" s="91"/>
      <c r="E70" s="82"/>
      <c r="F70" s="82"/>
      <c r="G70" s="96">
        <f>MROUND(10995*$I$8,5)</f>
        <v>11325</v>
      </c>
      <c r="H70" s="63"/>
      <c r="I70" s="64">
        <f t="shared" si="3"/>
        <v>11325</v>
      </c>
      <c r="J70" s="64"/>
      <c r="L70" s="22"/>
      <c r="M70" s="22"/>
    </row>
    <row r="71" spans="1:13" ht="15" customHeight="1" x14ac:dyDescent="0.2">
      <c r="A71" s="81"/>
      <c r="B71" s="81"/>
      <c r="C71" s="90" t="s">
        <v>85</v>
      </c>
      <c r="D71" s="91"/>
      <c r="E71" s="82"/>
      <c r="F71" s="82"/>
      <c r="G71" s="96">
        <f>MROUND(12760*$I$8,5)</f>
        <v>13145</v>
      </c>
      <c r="H71" s="63"/>
      <c r="I71" s="64">
        <f t="shared" si="3"/>
        <v>13145</v>
      </c>
      <c r="J71" s="64"/>
      <c r="L71" s="22"/>
      <c r="M71" s="22"/>
    </row>
    <row r="72" spans="1:13" ht="15" customHeight="1" x14ac:dyDescent="0.2">
      <c r="A72" s="81"/>
      <c r="B72" s="81"/>
      <c r="C72" s="90" t="s">
        <v>86</v>
      </c>
      <c r="D72" s="91"/>
      <c r="E72" s="82"/>
      <c r="F72" s="82"/>
      <c r="G72" s="96">
        <f>MROUND(15385*$I$8,5)</f>
        <v>15845</v>
      </c>
      <c r="H72" s="63"/>
      <c r="I72" s="64">
        <f t="shared" si="3"/>
        <v>15845</v>
      </c>
      <c r="J72" s="64"/>
      <c r="L72" s="22"/>
      <c r="M72" s="22"/>
    </row>
    <row r="73" spans="1:13" ht="15" customHeight="1" x14ac:dyDescent="0.2">
      <c r="A73" s="81"/>
      <c r="B73" s="81"/>
      <c r="C73" s="90" t="s">
        <v>87</v>
      </c>
      <c r="D73" s="91"/>
      <c r="E73" s="82"/>
      <c r="F73" s="82"/>
      <c r="G73" s="96">
        <f>MROUND(16695*$I$8,5)</f>
        <v>17195</v>
      </c>
      <c r="H73" s="63"/>
      <c r="I73" s="64">
        <f t="shared" si="3"/>
        <v>17195</v>
      </c>
      <c r="J73" s="64"/>
      <c r="L73" s="22"/>
      <c r="M73" s="22"/>
    </row>
    <row r="74" spans="1:13" ht="15" customHeight="1" x14ac:dyDescent="0.2">
      <c r="A74" s="81"/>
      <c r="B74" s="81"/>
      <c r="C74" s="90" t="s">
        <v>88</v>
      </c>
      <c r="D74" s="91"/>
      <c r="E74" s="82"/>
      <c r="F74" s="82"/>
      <c r="G74" s="96">
        <f>MROUND(17665*$I$8,5)</f>
        <v>18195</v>
      </c>
      <c r="H74" s="63"/>
      <c r="I74" s="64">
        <f t="shared" si="3"/>
        <v>18195</v>
      </c>
      <c r="J74" s="64"/>
      <c r="L74" s="22"/>
      <c r="M74" s="22"/>
    </row>
    <row r="75" spans="1:13" ht="15" customHeight="1" x14ac:dyDescent="0.2">
      <c r="A75" s="81"/>
      <c r="B75" s="81"/>
      <c r="C75" s="90" t="s">
        <v>89</v>
      </c>
      <c r="D75" s="91"/>
      <c r="E75" s="82"/>
      <c r="F75" s="82"/>
      <c r="G75" s="96">
        <f>MROUND(19795*$I$8,5)</f>
        <v>20390</v>
      </c>
      <c r="H75" s="63"/>
      <c r="I75" s="64">
        <f t="shared" si="3"/>
        <v>20390</v>
      </c>
      <c r="J75" s="64"/>
      <c r="L75" s="22"/>
      <c r="M75" s="22"/>
    </row>
    <row r="76" spans="1:13" ht="15" customHeight="1" x14ac:dyDescent="0.2">
      <c r="A76" s="81"/>
      <c r="B76" s="81"/>
      <c r="C76" s="90" t="s">
        <v>90</v>
      </c>
      <c r="D76" s="91"/>
      <c r="E76" s="82"/>
      <c r="F76" s="82"/>
      <c r="G76" s="96">
        <f>MROUND(21885*$I$8,5)</f>
        <v>22540</v>
      </c>
      <c r="H76" s="63"/>
      <c r="I76" s="64">
        <f t="shared" si="3"/>
        <v>22540</v>
      </c>
      <c r="J76" s="64"/>
      <c r="L76" s="22"/>
      <c r="M76" s="22"/>
    </row>
    <row r="77" spans="1:13" ht="15" customHeight="1" x14ac:dyDescent="0.2">
      <c r="A77" s="81"/>
      <c r="B77" s="81"/>
      <c r="C77" s="90" t="s">
        <v>235</v>
      </c>
      <c r="D77" s="91"/>
      <c r="E77" s="82"/>
      <c r="F77" s="82"/>
      <c r="G77" s="96">
        <f>MROUND(32600*$I$8,5)</f>
        <v>33580</v>
      </c>
      <c r="H77" s="63"/>
      <c r="I77" s="64">
        <f t="shared" si="3"/>
        <v>33580</v>
      </c>
      <c r="J77" s="64"/>
    </row>
    <row r="78" spans="1:13" ht="15" customHeight="1" x14ac:dyDescent="0.2">
      <c r="A78" s="81"/>
      <c r="B78" s="81"/>
      <c r="C78" s="90" t="s">
        <v>236</v>
      </c>
      <c r="D78" s="91"/>
      <c r="E78" s="82"/>
      <c r="F78" s="82"/>
      <c r="G78" s="96">
        <f>MROUND(37800*$I$8,5)</f>
        <v>38935</v>
      </c>
      <c r="H78" s="63"/>
      <c r="I78" s="64">
        <f t="shared" si="3"/>
        <v>38935</v>
      </c>
      <c r="J78" s="64"/>
    </row>
    <row r="79" spans="1:13" ht="15" customHeight="1" x14ac:dyDescent="0.2"/>
    <row r="80" spans="1:13" ht="15" customHeight="1" x14ac:dyDescent="0.2"/>
    <row r="81" spans="1:10" ht="15" customHeight="1" x14ac:dyDescent="0.2"/>
    <row r="82" spans="1:10" ht="15" customHeight="1" x14ac:dyDescent="0.2"/>
    <row r="83" spans="1:10" ht="15" customHeight="1" x14ac:dyDescent="0.2"/>
    <row r="84" spans="1:10" ht="15" customHeight="1" x14ac:dyDescent="0.2">
      <c r="A84" s="3"/>
      <c r="B84" s="5"/>
      <c r="C84" s="15"/>
      <c r="D84" s="15"/>
      <c r="E84" s="15"/>
      <c r="F84" s="15"/>
      <c r="G84" s="15"/>
      <c r="H84" s="15"/>
      <c r="I84" s="15"/>
      <c r="J84" s="15"/>
    </row>
    <row r="85" spans="1:10" ht="15" customHeight="1" x14ac:dyDescent="0.2">
      <c r="A85" s="3"/>
      <c r="B85" s="5"/>
      <c r="C85" s="15"/>
      <c r="D85" s="15"/>
      <c r="E85" s="15"/>
      <c r="F85" s="15"/>
      <c r="G85" s="15"/>
      <c r="H85" s="15"/>
      <c r="I85" s="15"/>
      <c r="J85" s="15"/>
    </row>
    <row r="86" spans="1:10" ht="15" customHeight="1" x14ac:dyDescent="0.2">
      <c r="A86" s="3"/>
      <c r="B86" s="5"/>
      <c r="C86" s="15"/>
      <c r="D86" s="15"/>
      <c r="E86" s="15"/>
      <c r="F86" s="15"/>
      <c r="G86" s="15"/>
      <c r="H86" s="15"/>
      <c r="I86" s="15"/>
      <c r="J86" s="15"/>
    </row>
    <row r="87" spans="1:10" ht="15" customHeight="1" x14ac:dyDescent="0.25">
      <c r="A87" s="65" t="s">
        <v>98</v>
      </c>
      <c r="B87" s="65"/>
      <c r="C87" s="65"/>
      <c r="D87" s="65"/>
      <c r="E87" s="65"/>
      <c r="F87" s="65"/>
      <c r="G87" s="65"/>
      <c r="H87" s="65"/>
      <c r="I87" s="21">
        <v>2</v>
      </c>
      <c r="J87" s="21">
        <v>0.65</v>
      </c>
    </row>
    <row r="88" spans="1:10" ht="15" customHeight="1" x14ac:dyDescent="0.2">
      <c r="A88" s="61" t="s">
        <v>99</v>
      </c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5" customHeight="1" x14ac:dyDescent="0.2">
      <c r="A89" s="83" t="s">
        <v>96</v>
      </c>
      <c r="B89" s="84"/>
      <c r="C89" s="9" t="s">
        <v>91</v>
      </c>
      <c r="D89" s="9" t="s">
        <v>75</v>
      </c>
      <c r="E89" s="9" t="s">
        <v>92</v>
      </c>
      <c r="F89" s="9" t="s">
        <v>93</v>
      </c>
      <c r="G89" s="9" t="s">
        <v>94</v>
      </c>
      <c r="H89" s="9" t="s">
        <v>95</v>
      </c>
      <c r="I89" s="9" t="s">
        <v>76</v>
      </c>
      <c r="J89" s="9" t="s">
        <v>77</v>
      </c>
    </row>
    <row r="90" spans="1:10" ht="15" customHeight="1" x14ac:dyDescent="0.2">
      <c r="A90" s="74" t="s">
        <v>184</v>
      </c>
      <c r="B90" s="75"/>
      <c r="C90" s="26">
        <f>MROUND(345*$I$8*$J$58,5)</f>
        <v>355</v>
      </c>
      <c r="D90" s="26">
        <f>MROUND(365*$I$8*$J$58,5)</f>
        <v>375</v>
      </c>
      <c r="E90" s="26">
        <f>MROUND(385*$I$8*$J$58,5)</f>
        <v>395</v>
      </c>
      <c r="F90" s="26">
        <f>MROUND(410*$I$8*$J$58,5)</f>
        <v>420</v>
      </c>
      <c r="G90" s="26">
        <f>MROUND(420*$I$8*$J$58,5)</f>
        <v>435</v>
      </c>
      <c r="H90" s="26">
        <f>MROUND(440*$I$8*$J$58,5)</f>
        <v>455</v>
      </c>
      <c r="I90" s="26">
        <f>MROUND(455*$I$8*$J$58,5)</f>
        <v>470</v>
      </c>
      <c r="J90" s="26">
        <f>MROUND(470*$I$8*$J$58,5)</f>
        <v>485</v>
      </c>
    </row>
    <row r="91" spans="1:10" ht="15" customHeight="1" x14ac:dyDescent="0.2">
      <c r="A91" s="83" t="s">
        <v>96</v>
      </c>
      <c r="B91" s="84"/>
      <c r="C91" s="9" t="s">
        <v>78</v>
      </c>
      <c r="D91" s="9" t="s">
        <v>79</v>
      </c>
      <c r="E91" s="9" t="s">
        <v>80</v>
      </c>
      <c r="F91" s="9" t="s">
        <v>81</v>
      </c>
      <c r="G91" s="9" t="s">
        <v>82</v>
      </c>
      <c r="H91" s="9" t="s">
        <v>83</v>
      </c>
      <c r="I91" s="9" t="s">
        <v>84</v>
      </c>
      <c r="J91" s="9" t="s">
        <v>85</v>
      </c>
    </row>
    <row r="92" spans="1:10" ht="15" customHeight="1" x14ac:dyDescent="0.2">
      <c r="A92" s="74" t="s">
        <v>184</v>
      </c>
      <c r="B92" s="75"/>
      <c r="C92" s="26">
        <f>MROUND(590*$I$8*$J$58,5)</f>
        <v>610</v>
      </c>
      <c r="D92" s="26">
        <f>MROUND(605*$I$8*$J$58,5)</f>
        <v>625</v>
      </c>
      <c r="E92" s="26">
        <f>MROUND(635*$I$8*$J$58,5)</f>
        <v>655</v>
      </c>
      <c r="F92" s="26">
        <f>MROUND(660*$I$8*$J$58,5)</f>
        <v>680</v>
      </c>
      <c r="G92" s="26">
        <f>MROUND(850*$I$8*$J$58,5)</f>
        <v>875</v>
      </c>
      <c r="H92" s="26">
        <f>MROUND(1035*$I$8*$J$58,5)</f>
        <v>1065</v>
      </c>
      <c r="I92" s="26">
        <f>MROUND(1280*$I$8*$J$58,5)</f>
        <v>1320</v>
      </c>
      <c r="J92" s="26">
        <f>MROUND(1420*$I$8*$J$58,5)</f>
        <v>1465</v>
      </c>
    </row>
    <row r="93" spans="1:10" ht="15" customHeight="1" x14ac:dyDescent="0.2">
      <c r="A93" s="83" t="s">
        <v>96</v>
      </c>
      <c r="B93" s="84"/>
      <c r="C93" s="9" t="s">
        <v>86</v>
      </c>
      <c r="D93" s="9" t="s">
        <v>87</v>
      </c>
      <c r="E93" s="9" t="s">
        <v>88</v>
      </c>
      <c r="F93" s="9" t="s">
        <v>89</v>
      </c>
      <c r="G93" s="9" t="s">
        <v>90</v>
      </c>
      <c r="H93" s="9" t="s">
        <v>235</v>
      </c>
      <c r="I93" s="9" t="s">
        <v>236</v>
      </c>
      <c r="J93" s="9" t="s">
        <v>238</v>
      </c>
    </row>
    <row r="94" spans="1:10" ht="15" customHeight="1" x14ac:dyDescent="0.2">
      <c r="A94" s="74" t="s">
        <v>184</v>
      </c>
      <c r="B94" s="75"/>
      <c r="C94" s="26">
        <f>MROUND(1490*$I$8*$J$58,5)</f>
        <v>1535</v>
      </c>
      <c r="D94" s="26">
        <f>MROUND(1530*$I$8*$J$58,5)</f>
        <v>1575</v>
      </c>
      <c r="E94" s="26">
        <f>MROUND(1950*$I$8*$J$58,5)</f>
        <v>2010</v>
      </c>
      <c r="F94" s="26">
        <f>MROUND(2060*$I$8*$J$58,5)</f>
        <v>2120</v>
      </c>
      <c r="G94" s="26">
        <f>MROUND(2170*$I$8*$J$58,5)</f>
        <v>2235</v>
      </c>
      <c r="H94" s="26">
        <f>MROUND(6020*$I$8*$J$58,5)</f>
        <v>6200</v>
      </c>
      <c r="I94" s="26">
        <f>MROUND(8490*$I$8*$J$58,5)</f>
        <v>8745</v>
      </c>
      <c r="J94" s="26" t="s">
        <v>237</v>
      </c>
    </row>
    <row r="95" spans="1:10" ht="15" customHeight="1" x14ac:dyDescent="0.2">
      <c r="A95" s="5"/>
      <c r="B95" s="5"/>
      <c r="C95" s="15"/>
      <c r="D95" s="15"/>
      <c r="E95" s="15"/>
      <c r="F95" s="15"/>
      <c r="G95" s="15"/>
      <c r="H95" s="15"/>
      <c r="I95" s="15"/>
      <c r="J95" s="15"/>
    </row>
    <row r="96" spans="1:10" ht="15" customHeight="1" x14ac:dyDescent="0.2">
      <c r="A96" s="3" t="s">
        <v>32</v>
      </c>
      <c r="B96" s="3"/>
      <c r="C96" s="3"/>
      <c r="D96" s="3"/>
      <c r="E96" s="3"/>
      <c r="F96" s="3"/>
      <c r="G96" s="3"/>
      <c r="H96" s="3"/>
      <c r="I96" s="3"/>
      <c r="J96" s="3"/>
    </row>
    <row r="97" spans="1:13" ht="15" customHeight="1" x14ac:dyDescent="0.2">
      <c r="A97" s="3" t="s">
        <v>33</v>
      </c>
      <c r="B97" s="3"/>
      <c r="C97" s="3"/>
      <c r="D97" s="3"/>
      <c r="E97" s="3"/>
      <c r="F97" s="3"/>
      <c r="G97" s="3"/>
      <c r="H97" s="3"/>
      <c r="I97" s="3"/>
      <c r="J97" s="3"/>
    </row>
    <row r="98" spans="1:13" ht="15" customHeight="1" x14ac:dyDescent="0.2">
      <c r="A98" s="3" t="s">
        <v>35</v>
      </c>
      <c r="B98" s="3"/>
      <c r="C98" s="3"/>
      <c r="D98" s="3"/>
      <c r="E98" s="3"/>
      <c r="F98" s="3"/>
      <c r="G98" s="3"/>
      <c r="H98" s="3"/>
      <c r="I98" s="3"/>
      <c r="J98" s="3"/>
    </row>
    <row r="99" spans="1:13" ht="15" customHeight="1" x14ac:dyDescent="0.2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</row>
    <row r="100" spans="1:13" ht="15" customHeight="1" x14ac:dyDescent="0.2">
      <c r="A100" s="4" t="s">
        <v>34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3" ht="15" customHeight="1" x14ac:dyDescent="0.2"/>
    <row r="102" spans="1:13" ht="15" customHeight="1" x14ac:dyDescent="0.2"/>
    <row r="103" spans="1:13" ht="15" customHeight="1" x14ac:dyDescent="0.2"/>
    <row r="104" spans="1:13" ht="15" customHeight="1" x14ac:dyDescent="0.2"/>
    <row r="105" spans="1:13" ht="15" customHeight="1" thickBot="1" x14ac:dyDescent="0.25">
      <c r="I105" s="54" t="s">
        <v>2</v>
      </c>
      <c r="J105" s="54"/>
    </row>
    <row r="106" spans="1:13" ht="15" customHeight="1" x14ac:dyDescent="0.2">
      <c r="A106" s="55" t="s">
        <v>100</v>
      </c>
      <c r="B106" s="55"/>
      <c r="C106" s="55"/>
      <c r="D106" s="55"/>
      <c r="E106" s="55"/>
      <c r="F106" s="55"/>
      <c r="G106" s="55"/>
      <c r="H106" s="56"/>
      <c r="I106" s="69">
        <f>I6</f>
        <v>0</v>
      </c>
      <c r="J106" s="70"/>
    </row>
    <row r="107" spans="1:13" ht="15" customHeight="1" thickBot="1" x14ac:dyDescent="0.25">
      <c r="A107" s="55"/>
      <c r="B107" s="55"/>
      <c r="C107" s="55"/>
      <c r="D107" s="55"/>
      <c r="E107" s="55"/>
      <c r="F107" s="55"/>
      <c r="G107" s="55"/>
      <c r="H107" s="56"/>
      <c r="I107" s="71"/>
      <c r="J107" s="72"/>
    </row>
    <row r="108" spans="1:13" ht="15" customHeight="1" x14ac:dyDescent="0.2">
      <c r="J108" s="30">
        <f>1-I106</f>
        <v>1</v>
      </c>
    </row>
    <row r="109" spans="1:13" ht="15" customHeight="1" x14ac:dyDescent="0.25">
      <c r="A109" s="65" t="s">
        <v>101</v>
      </c>
      <c r="B109" s="65"/>
      <c r="C109" s="65"/>
      <c r="D109" s="65"/>
      <c r="E109" s="65"/>
      <c r="F109" s="65"/>
      <c r="G109" s="65"/>
      <c r="H109" s="65"/>
      <c r="I109" s="73" t="s">
        <v>72</v>
      </c>
      <c r="J109" s="73"/>
    </row>
    <row r="110" spans="1:13" ht="15" customHeight="1" x14ac:dyDescent="0.2">
      <c r="A110" s="61" t="s">
        <v>48</v>
      </c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3" ht="15" customHeight="1" x14ac:dyDescent="0.25">
      <c r="A111" s="68" t="s">
        <v>4</v>
      </c>
      <c r="B111" s="68"/>
      <c r="C111" s="68" t="s">
        <v>74</v>
      </c>
      <c r="D111" s="68"/>
      <c r="E111" s="68" t="s">
        <v>44</v>
      </c>
      <c r="F111" s="68"/>
      <c r="G111" s="68" t="s">
        <v>186</v>
      </c>
      <c r="H111" s="68"/>
      <c r="I111" s="68" t="s">
        <v>41</v>
      </c>
      <c r="J111" s="68"/>
    </row>
    <row r="112" spans="1:13" ht="15" customHeight="1" x14ac:dyDescent="0.2">
      <c r="A112" s="81" t="s">
        <v>102</v>
      </c>
      <c r="B112" s="81"/>
      <c r="C112" s="90" t="s">
        <v>76</v>
      </c>
      <c r="D112" s="91"/>
      <c r="E112" s="82">
        <v>2000</v>
      </c>
      <c r="F112" s="82"/>
      <c r="G112" s="96">
        <f>MROUND(6305*$I$8,5)</f>
        <v>6495</v>
      </c>
      <c r="H112" s="63"/>
      <c r="I112" s="64">
        <f t="shared" ref="I112:I128" si="4">ROUND(G112*$J$108,0)</f>
        <v>6495</v>
      </c>
      <c r="J112" s="64"/>
      <c r="L112" s="22"/>
      <c r="M112" s="22"/>
    </row>
    <row r="113" spans="1:13" ht="15" customHeight="1" x14ac:dyDescent="0.2">
      <c r="A113" s="81"/>
      <c r="B113" s="81"/>
      <c r="C113" s="90" t="s">
        <v>77</v>
      </c>
      <c r="D113" s="91"/>
      <c r="E113" s="82"/>
      <c r="F113" s="82"/>
      <c r="G113" s="96">
        <f>MROUND(6805*$I$8,5)</f>
        <v>7010</v>
      </c>
      <c r="H113" s="63"/>
      <c r="I113" s="64">
        <f t="shared" si="4"/>
        <v>7010</v>
      </c>
      <c r="J113" s="64"/>
      <c r="L113" s="22"/>
      <c r="M113" s="22"/>
    </row>
    <row r="114" spans="1:13" ht="15" customHeight="1" x14ac:dyDescent="0.2">
      <c r="A114" s="81"/>
      <c r="B114" s="81"/>
      <c r="C114" s="90" t="s">
        <v>78</v>
      </c>
      <c r="D114" s="91"/>
      <c r="E114" s="82"/>
      <c r="F114" s="82"/>
      <c r="G114" s="96">
        <f>MROUND(7145*$I$8,5)</f>
        <v>7360</v>
      </c>
      <c r="H114" s="63"/>
      <c r="I114" s="64">
        <f t="shared" si="4"/>
        <v>7360</v>
      </c>
      <c r="J114" s="64"/>
      <c r="L114" s="22"/>
      <c r="M114" s="22"/>
    </row>
    <row r="115" spans="1:13" ht="15" customHeight="1" x14ac:dyDescent="0.2">
      <c r="A115" s="81"/>
      <c r="B115" s="81"/>
      <c r="C115" s="90" t="s">
        <v>79</v>
      </c>
      <c r="D115" s="91"/>
      <c r="E115" s="82"/>
      <c r="F115" s="82"/>
      <c r="G115" s="96">
        <f>MROUND(8045*$I$8,5)</f>
        <v>8285</v>
      </c>
      <c r="H115" s="63"/>
      <c r="I115" s="64">
        <f t="shared" si="4"/>
        <v>8285</v>
      </c>
      <c r="J115" s="64"/>
      <c r="L115" s="22"/>
      <c r="M115" s="22"/>
    </row>
    <row r="116" spans="1:13" ht="15" customHeight="1" x14ac:dyDescent="0.2">
      <c r="A116" s="81"/>
      <c r="B116" s="81"/>
      <c r="C116" s="90" t="s">
        <v>80</v>
      </c>
      <c r="D116" s="91"/>
      <c r="E116" s="82"/>
      <c r="F116" s="82"/>
      <c r="G116" s="96">
        <f>MROUND(8555*$I$8,5)</f>
        <v>8810</v>
      </c>
      <c r="H116" s="63"/>
      <c r="I116" s="64">
        <f t="shared" si="4"/>
        <v>8810</v>
      </c>
      <c r="J116" s="64"/>
      <c r="L116" s="22"/>
      <c r="M116" s="22"/>
    </row>
    <row r="117" spans="1:13" ht="15" customHeight="1" x14ac:dyDescent="0.2">
      <c r="A117" s="81"/>
      <c r="B117" s="81"/>
      <c r="C117" s="90" t="s">
        <v>81</v>
      </c>
      <c r="D117" s="91"/>
      <c r="E117" s="82"/>
      <c r="F117" s="82"/>
      <c r="G117" s="96">
        <f>MROUND(8865*$I$8,5)</f>
        <v>9130</v>
      </c>
      <c r="H117" s="63"/>
      <c r="I117" s="64">
        <f t="shared" si="4"/>
        <v>9130</v>
      </c>
      <c r="J117" s="64"/>
      <c r="L117" s="22"/>
      <c r="M117" s="22"/>
    </row>
    <row r="118" spans="1:13" ht="15" customHeight="1" x14ac:dyDescent="0.2">
      <c r="A118" s="81"/>
      <c r="B118" s="81"/>
      <c r="C118" s="90" t="s">
        <v>82</v>
      </c>
      <c r="D118" s="91"/>
      <c r="E118" s="82"/>
      <c r="F118" s="82"/>
      <c r="G118" s="96">
        <f>MROUND(10135*$I$8,5)</f>
        <v>10440</v>
      </c>
      <c r="H118" s="63"/>
      <c r="I118" s="64">
        <f t="shared" si="4"/>
        <v>10440</v>
      </c>
      <c r="J118" s="64"/>
      <c r="L118" s="22"/>
      <c r="M118" s="22"/>
    </row>
    <row r="119" spans="1:13" ht="15" customHeight="1" x14ac:dyDescent="0.2">
      <c r="A119" s="81"/>
      <c r="B119" s="81"/>
      <c r="C119" s="90" t="s">
        <v>83</v>
      </c>
      <c r="D119" s="91"/>
      <c r="E119" s="82"/>
      <c r="F119" s="82"/>
      <c r="G119" s="96">
        <f>MROUND(11120*$I$8,5)</f>
        <v>11455</v>
      </c>
      <c r="H119" s="63"/>
      <c r="I119" s="64">
        <f t="shared" si="4"/>
        <v>11455</v>
      </c>
      <c r="J119" s="64"/>
      <c r="L119" s="22"/>
      <c r="M119" s="22"/>
    </row>
    <row r="120" spans="1:13" ht="15" customHeight="1" x14ac:dyDescent="0.2">
      <c r="A120" s="81"/>
      <c r="B120" s="81"/>
      <c r="C120" s="90" t="s">
        <v>84</v>
      </c>
      <c r="D120" s="91"/>
      <c r="E120" s="82"/>
      <c r="F120" s="82"/>
      <c r="G120" s="96">
        <f>MROUND(13505*$I$8,5)</f>
        <v>13910</v>
      </c>
      <c r="H120" s="63"/>
      <c r="I120" s="64">
        <f t="shared" si="4"/>
        <v>13910</v>
      </c>
      <c r="J120" s="64"/>
      <c r="L120" s="22"/>
      <c r="M120" s="22"/>
    </row>
    <row r="121" spans="1:13" ht="15" customHeight="1" x14ac:dyDescent="0.2">
      <c r="A121" s="81"/>
      <c r="B121" s="81"/>
      <c r="C121" s="90" t="s">
        <v>85</v>
      </c>
      <c r="D121" s="91"/>
      <c r="E121" s="82"/>
      <c r="F121" s="82"/>
      <c r="G121" s="96">
        <f>MROUND(15265*$I$8,5)</f>
        <v>15725</v>
      </c>
      <c r="H121" s="63"/>
      <c r="I121" s="64">
        <f t="shared" si="4"/>
        <v>15725</v>
      </c>
      <c r="J121" s="64"/>
      <c r="L121" s="22"/>
      <c r="M121" s="22"/>
    </row>
    <row r="122" spans="1:13" ht="15" customHeight="1" x14ac:dyDescent="0.2">
      <c r="A122" s="81"/>
      <c r="B122" s="81"/>
      <c r="C122" s="90" t="s">
        <v>86</v>
      </c>
      <c r="D122" s="91"/>
      <c r="E122" s="82"/>
      <c r="F122" s="82"/>
      <c r="G122" s="96">
        <f>MROUND(18605*$I$8,5)</f>
        <v>19165</v>
      </c>
      <c r="H122" s="63"/>
      <c r="I122" s="64">
        <f t="shared" si="4"/>
        <v>19165</v>
      </c>
      <c r="J122" s="64"/>
      <c r="L122" s="22"/>
      <c r="M122" s="22"/>
    </row>
    <row r="123" spans="1:13" ht="15" customHeight="1" x14ac:dyDescent="0.2">
      <c r="A123" s="81"/>
      <c r="B123" s="81"/>
      <c r="C123" s="90" t="s">
        <v>87</v>
      </c>
      <c r="D123" s="91"/>
      <c r="E123" s="82"/>
      <c r="F123" s="82"/>
      <c r="G123" s="96">
        <f>MROUND(20140*$I$8,5)</f>
        <v>20745</v>
      </c>
      <c r="H123" s="63"/>
      <c r="I123" s="64">
        <f t="shared" si="4"/>
        <v>20745</v>
      </c>
      <c r="J123" s="64"/>
      <c r="L123" s="22"/>
      <c r="M123" s="22"/>
    </row>
    <row r="124" spans="1:13" ht="15" customHeight="1" x14ac:dyDescent="0.2">
      <c r="A124" s="81"/>
      <c r="B124" s="81"/>
      <c r="C124" s="90" t="s">
        <v>88</v>
      </c>
      <c r="D124" s="91"/>
      <c r="E124" s="82"/>
      <c r="F124" s="82"/>
      <c r="G124" s="96">
        <f>MROUND(21150*$I$8,5)</f>
        <v>21785</v>
      </c>
      <c r="H124" s="63"/>
      <c r="I124" s="64">
        <f t="shared" si="4"/>
        <v>21785</v>
      </c>
      <c r="J124" s="64"/>
      <c r="L124" s="22"/>
      <c r="M124" s="22"/>
    </row>
    <row r="125" spans="1:13" ht="15" customHeight="1" x14ac:dyDescent="0.2">
      <c r="A125" s="81"/>
      <c r="B125" s="81"/>
      <c r="C125" s="90" t="s">
        <v>89</v>
      </c>
      <c r="D125" s="91"/>
      <c r="E125" s="82"/>
      <c r="F125" s="82"/>
      <c r="G125" s="96">
        <f>MROUND(23720*$I$8,5)</f>
        <v>24430</v>
      </c>
      <c r="H125" s="63"/>
      <c r="I125" s="64">
        <f t="shared" si="4"/>
        <v>24430</v>
      </c>
      <c r="J125" s="64"/>
      <c r="L125" s="22"/>
      <c r="M125" s="22"/>
    </row>
    <row r="126" spans="1:13" ht="15" customHeight="1" x14ac:dyDescent="0.2">
      <c r="A126" s="81"/>
      <c r="B126" s="81"/>
      <c r="C126" s="90" t="s">
        <v>90</v>
      </c>
      <c r="D126" s="91"/>
      <c r="E126" s="82"/>
      <c r="F126" s="82"/>
      <c r="G126" s="96">
        <f>MROUND(26065*$I$8,5)</f>
        <v>26845</v>
      </c>
      <c r="H126" s="63"/>
      <c r="I126" s="64">
        <f t="shared" si="4"/>
        <v>26845</v>
      </c>
      <c r="J126" s="64"/>
      <c r="L126" s="22"/>
      <c r="M126" s="22"/>
    </row>
    <row r="127" spans="1:13" ht="15" customHeight="1" x14ac:dyDescent="0.2">
      <c r="A127" s="81"/>
      <c r="B127" s="81"/>
      <c r="C127" s="90" t="s">
        <v>235</v>
      </c>
      <c r="D127" s="91"/>
      <c r="E127" s="82"/>
      <c r="F127" s="82"/>
      <c r="G127" s="96">
        <f>MROUND(40700*$I$8,5)</f>
        <v>41920</v>
      </c>
      <c r="H127" s="63"/>
      <c r="I127" s="64">
        <f t="shared" si="4"/>
        <v>41920</v>
      </c>
      <c r="J127" s="64"/>
    </row>
    <row r="128" spans="1:13" ht="15" customHeight="1" x14ac:dyDescent="0.2">
      <c r="A128" s="81"/>
      <c r="B128" s="81"/>
      <c r="C128" s="90" t="s">
        <v>236</v>
      </c>
      <c r="D128" s="91"/>
      <c r="E128" s="82"/>
      <c r="F128" s="82"/>
      <c r="G128" s="96">
        <f>MROUND(47100*$I$8,5)</f>
        <v>48515</v>
      </c>
      <c r="H128" s="63"/>
      <c r="I128" s="64">
        <f t="shared" si="4"/>
        <v>48515</v>
      </c>
      <c r="J128" s="64"/>
    </row>
    <row r="129" spans="1:10" ht="15" customHeight="1" x14ac:dyDescent="0.2"/>
    <row r="130" spans="1:10" ht="15" customHeight="1" x14ac:dyDescent="0.2"/>
    <row r="131" spans="1:10" ht="15" customHeight="1" x14ac:dyDescent="0.2"/>
    <row r="132" spans="1:10" ht="15" customHeight="1" x14ac:dyDescent="0.2"/>
    <row r="133" spans="1:10" ht="15" customHeight="1" x14ac:dyDescent="0.2"/>
    <row r="134" spans="1:10" ht="15" customHeight="1" x14ac:dyDescent="0.2">
      <c r="A134" s="5"/>
      <c r="B134" s="5"/>
      <c r="C134" s="15"/>
      <c r="D134" s="15"/>
      <c r="E134" s="15"/>
      <c r="F134" s="15"/>
      <c r="G134" s="15"/>
      <c r="H134" s="15"/>
      <c r="I134" s="15"/>
      <c r="J134" s="15"/>
    </row>
    <row r="135" spans="1:10" ht="15" customHeight="1" x14ac:dyDescent="0.2">
      <c r="A135" s="3"/>
      <c r="B135" s="5"/>
      <c r="C135" s="15"/>
      <c r="D135" s="15"/>
      <c r="E135" s="15"/>
      <c r="F135" s="15"/>
      <c r="G135" s="15"/>
      <c r="H135" s="15"/>
      <c r="I135" s="15"/>
      <c r="J135" s="15"/>
    </row>
    <row r="136" spans="1:10" ht="15" customHeight="1" x14ac:dyDescent="0.2">
      <c r="A136" s="3"/>
      <c r="B136" s="5"/>
      <c r="C136" s="15"/>
      <c r="D136" s="15"/>
      <c r="E136" s="15"/>
      <c r="F136" s="15"/>
      <c r="G136" s="15"/>
      <c r="H136" s="15"/>
      <c r="I136" s="15"/>
      <c r="J136" s="15"/>
    </row>
    <row r="137" spans="1:10" ht="15" customHeight="1" x14ac:dyDescent="0.25">
      <c r="A137" s="65" t="s">
        <v>98</v>
      </c>
      <c r="B137" s="65"/>
      <c r="C137" s="65"/>
      <c r="D137" s="65"/>
      <c r="E137" s="65"/>
      <c r="F137" s="65"/>
      <c r="G137" s="65"/>
      <c r="H137" s="65"/>
      <c r="I137" s="21">
        <v>2</v>
      </c>
      <c r="J137" s="21">
        <v>0.65</v>
      </c>
    </row>
    <row r="138" spans="1:10" ht="15" customHeight="1" x14ac:dyDescent="0.2">
      <c r="A138" s="61" t="s">
        <v>99</v>
      </c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0" ht="15" customHeight="1" x14ac:dyDescent="0.2">
      <c r="A139" s="83" t="s">
        <v>96</v>
      </c>
      <c r="B139" s="84"/>
      <c r="C139" s="9" t="s">
        <v>91</v>
      </c>
      <c r="D139" s="9" t="s">
        <v>75</v>
      </c>
      <c r="E139" s="9" t="s">
        <v>92</v>
      </c>
      <c r="F139" s="9" t="s">
        <v>93</v>
      </c>
      <c r="G139" s="9" t="s">
        <v>94</v>
      </c>
      <c r="H139" s="9" t="s">
        <v>95</v>
      </c>
      <c r="I139" s="9" t="s">
        <v>76</v>
      </c>
      <c r="J139" s="9" t="s">
        <v>77</v>
      </c>
    </row>
    <row r="140" spans="1:10" ht="15" customHeight="1" x14ac:dyDescent="0.2">
      <c r="A140" s="74" t="s">
        <v>184</v>
      </c>
      <c r="B140" s="75"/>
      <c r="C140" s="26">
        <f>MROUND(345*$I$8*$J$108,5)</f>
        <v>355</v>
      </c>
      <c r="D140" s="26">
        <f>MROUND(365*$I$8*$J$108,5)</f>
        <v>375</v>
      </c>
      <c r="E140" s="26">
        <f>MROUND(385*$I$8*$J$108,5)</f>
        <v>395</v>
      </c>
      <c r="F140" s="26">
        <f>MROUND(410*$I$8*$J$108,5)</f>
        <v>420</v>
      </c>
      <c r="G140" s="26">
        <f>MROUND(420*$I$8*$J$108,5)</f>
        <v>435</v>
      </c>
      <c r="H140" s="26">
        <f>MROUND(440*$I$8*$J$108,5)</f>
        <v>455</v>
      </c>
      <c r="I140" s="26">
        <f>MROUND(455*$I$8*$J$108,5)</f>
        <v>470</v>
      </c>
      <c r="J140" s="26">
        <f>MROUND(470*$I$8*$J$108,5)</f>
        <v>485</v>
      </c>
    </row>
    <row r="141" spans="1:10" ht="15" customHeight="1" x14ac:dyDescent="0.2">
      <c r="A141" s="83" t="s">
        <v>96</v>
      </c>
      <c r="B141" s="84"/>
      <c r="C141" s="9" t="s">
        <v>78</v>
      </c>
      <c r="D141" s="9" t="s">
        <v>79</v>
      </c>
      <c r="E141" s="9" t="s">
        <v>80</v>
      </c>
      <c r="F141" s="9" t="s">
        <v>81</v>
      </c>
      <c r="G141" s="9" t="s">
        <v>82</v>
      </c>
      <c r="H141" s="9" t="s">
        <v>83</v>
      </c>
      <c r="I141" s="9" t="s">
        <v>84</v>
      </c>
      <c r="J141" s="9" t="s">
        <v>85</v>
      </c>
    </row>
    <row r="142" spans="1:10" ht="15" customHeight="1" x14ac:dyDescent="0.2">
      <c r="A142" s="74" t="s">
        <v>184</v>
      </c>
      <c r="B142" s="75"/>
      <c r="C142" s="26">
        <f>MROUND(590*$I$8*$J$108,5)</f>
        <v>610</v>
      </c>
      <c r="D142" s="26">
        <f>MROUND(605*$I$8*$J$108,5)</f>
        <v>625</v>
      </c>
      <c r="E142" s="26">
        <f>MROUND(635*$I$8*$J$108,5)</f>
        <v>655</v>
      </c>
      <c r="F142" s="26">
        <f>MROUND(660*$I$8*$J$108,5)</f>
        <v>680</v>
      </c>
      <c r="G142" s="26">
        <f>MROUND(850*$I$8*$J$108,5)</f>
        <v>875</v>
      </c>
      <c r="H142" s="26">
        <f>MROUND(1035*$I$8*$J$108,5)</f>
        <v>1065</v>
      </c>
      <c r="I142" s="26">
        <f>MROUND(1280*$I$8*$J$108,5)</f>
        <v>1320</v>
      </c>
      <c r="J142" s="26">
        <f>MROUND(1420*$I$8*$J$108,5)</f>
        <v>1465</v>
      </c>
    </row>
    <row r="143" spans="1:10" ht="15" customHeight="1" x14ac:dyDescent="0.2">
      <c r="A143" s="83" t="s">
        <v>96</v>
      </c>
      <c r="B143" s="84"/>
      <c r="C143" s="9" t="s">
        <v>86</v>
      </c>
      <c r="D143" s="9" t="s">
        <v>87</v>
      </c>
      <c r="E143" s="9" t="s">
        <v>88</v>
      </c>
      <c r="F143" s="9" t="s">
        <v>89</v>
      </c>
      <c r="G143" s="9" t="s">
        <v>90</v>
      </c>
      <c r="H143" s="9" t="s">
        <v>235</v>
      </c>
      <c r="I143" s="9" t="s">
        <v>236</v>
      </c>
      <c r="J143" s="9" t="s">
        <v>238</v>
      </c>
    </row>
    <row r="144" spans="1:10" ht="15" customHeight="1" x14ac:dyDescent="0.2">
      <c r="A144" s="74" t="s">
        <v>184</v>
      </c>
      <c r="B144" s="75"/>
      <c r="C144" s="26">
        <f>MROUND(1490*$I$8*$J$108,5)</f>
        <v>1535</v>
      </c>
      <c r="D144" s="26">
        <f>MROUND(1530*$I$8*$J$108,5)</f>
        <v>1575</v>
      </c>
      <c r="E144" s="26">
        <f>MROUND(1950*$I$8*$J$108,5)</f>
        <v>2010</v>
      </c>
      <c r="F144" s="26">
        <f>MROUND(2060*$I$8*$J$108,5)</f>
        <v>2120</v>
      </c>
      <c r="G144" s="26">
        <f>MROUND(2170*$I$8*$J$108,5)</f>
        <v>2235</v>
      </c>
      <c r="H144" s="26">
        <f>MROUND(6020*$I$8*$J$108,5)</f>
        <v>6200</v>
      </c>
      <c r="I144" s="26">
        <f>MROUND(8490*$I$8*$J$108,5)</f>
        <v>8745</v>
      </c>
      <c r="J144" s="26" t="s">
        <v>237</v>
      </c>
    </row>
    <row r="145" spans="1:10" ht="15" customHeight="1" x14ac:dyDescent="0.2">
      <c r="A145" s="5"/>
      <c r="B145" s="5"/>
      <c r="C145" s="15"/>
      <c r="D145" s="15"/>
      <c r="E145" s="15"/>
      <c r="F145" s="15"/>
      <c r="G145" s="15"/>
      <c r="H145" s="15"/>
      <c r="I145" s="15"/>
      <c r="J145" s="15"/>
    </row>
    <row r="146" spans="1:10" ht="15" customHeight="1" x14ac:dyDescent="0.2">
      <c r="A146" s="3" t="s">
        <v>32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customHeight="1" x14ac:dyDescent="0.2">
      <c r="A147" s="3" t="s">
        <v>33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customHeight="1" x14ac:dyDescent="0.2">
      <c r="A148" s="3" t="s">
        <v>35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customHeight="1" x14ac:dyDescent="0.2">
      <c r="A149" s="3" t="s">
        <v>36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customHeight="1" x14ac:dyDescent="0.2">
      <c r="A150" s="4" t="s">
        <v>34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customHeight="1" x14ac:dyDescent="0.2"/>
    <row r="152" spans="1:10" ht="15" customHeight="1" x14ac:dyDescent="0.2"/>
    <row r="153" spans="1:10" ht="15" customHeight="1" x14ac:dyDescent="0.2"/>
    <row r="154" spans="1:10" ht="15" customHeight="1" x14ac:dyDescent="0.2"/>
    <row r="155" spans="1:10" ht="15" customHeight="1" x14ac:dyDescent="0.2"/>
    <row r="156" spans="1:10" ht="15" customHeight="1" x14ac:dyDescent="0.2"/>
    <row r="157" spans="1:10" ht="15" customHeight="1" x14ac:dyDescent="0.2"/>
    <row r="158" spans="1:10" ht="15" customHeight="1" x14ac:dyDescent="0.2"/>
    <row r="159" spans="1:10" ht="15" customHeight="1" x14ac:dyDescent="0.2"/>
    <row r="160" spans="1:1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216">
    <mergeCell ref="I13:J13"/>
    <mergeCell ref="C14:D14"/>
    <mergeCell ref="G14:H14"/>
    <mergeCell ref="I14:J14"/>
    <mergeCell ref="C19:D19"/>
    <mergeCell ref="C15:D15"/>
    <mergeCell ref="I5:J5"/>
    <mergeCell ref="A6:H7"/>
    <mergeCell ref="I6:J7"/>
    <mergeCell ref="A9:H9"/>
    <mergeCell ref="I9:J9"/>
    <mergeCell ref="A10:J10"/>
    <mergeCell ref="C12:D12"/>
    <mergeCell ref="G12:H12"/>
    <mergeCell ref="I12:J12"/>
    <mergeCell ref="A11:B11"/>
    <mergeCell ref="C11:D11"/>
    <mergeCell ref="E11:F11"/>
    <mergeCell ref="G11:H11"/>
    <mergeCell ref="I11:J11"/>
    <mergeCell ref="C22:D22"/>
    <mergeCell ref="G22:H22"/>
    <mergeCell ref="I22:J22"/>
    <mergeCell ref="G15:H15"/>
    <mergeCell ref="I15:J15"/>
    <mergeCell ref="C16:D16"/>
    <mergeCell ref="I63:J63"/>
    <mergeCell ref="C64:D64"/>
    <mergeCell ref="G64:H64"/>
    <mergeCell ref="I64:J64"/>
    <mergeCell ref="G20:H20"/>
    <mergeCell ref="I20:J20"/>
    <mergeCell ref="C17:D17"/>
    <mergeCell ref="G17:H17"/>
    <mergeCell ref="I17:J17"/>
    <mergeCell ref="C18:D18"/>
    <mergeCell ref="G18:H18"/>
    <mergeCell ref="I18:J18"/>
    <mergeCell ref="G21:H21"/>
    <mergeCell ref="I21:J21"/>
    <mergeCell ref="A43:B43"/>
    <mergeCell ref="A44:B44"/>
    <mergeCell ref="C65:D65"/>
    <mergeCell ref="G65:H65"/>
    <mergeCell ref="I65:J65"/>
    <mergeCell ref="C66:D66"/>
    <mergeCell ref="G66:H66"/>
    <mergeCell ref="I66:J66"/>
    <mergeCell ref="C63:D63"/>
    <mergeCell ref="A61:B61"/>
    <mergeCell ref="C61:D61"/>
    <mergeCell ref="E61:F61"/>
    <mergeCell ref="G61:H61"/>
    <mergeCell ref="I61:J61"/>
    <mergeCell ref="C62:D62"/>
    <mergeCell ref="G62:H62"/>
    <mergeCell ref="I62:J62"/>
    <mergeCell ref="I55:J55"/>
    <mergeCell ref="A56:H57"/>
    <mergeCell ref="I56:J57"/>
    <mergeCell ref="A59:H59"/>
    <mergeCell ref="I59:J59"/>
    <mergeCell ref="A42:B42"/>
    <mergeCell ref="C27:D27"/>
    <mergeCell ref="C28:D28"/>
    <mergeCell ref="A12:B28"/>
    <mergeCell ref="E12:F28"/>
    <mergeCell ref="G27:H27"/>
    <mergeCell ref="I27:J27"/>
    <mergeCell ref="G28:H28"/>
    <mergeCell ref="I28:J28"/>
    <mergeCell ref="C25:D25"/>
    <mergeCell ref="G25:H25"/>
    <mergeCell ref="I25:J25"/>
    <mergeCell ref="C24:D24"/>
    <mergeCell ref="G24:H24"/>
    <mergeCell ref="G16:H16"/>
    <mergeCell ref="I16:J16"/>
    <mergeCell ref="C13:D13"/>
    <mergeCell ref="G13:H13"/>
    <mergeCell ref="C23:D23"/>
    <mergeCell ref="G23:H23"/>
    <mergeCell ref="I23:J23"/>
    <mergeCell ref="G19:H19"/>
    <mergeCell ref="I19:J19"/>
    <mergeCell ref="C20:D20"/>
    <mergeCell ref="I24:J24"/>
    <mergeCell ref="C21:D21"/>
    <mergeCell ref="C69:D69"/>
    <mergeCell ref="G69:H69"/>
    <mergeCell ref="I69:J69"/>
    <mergeCell ref="C70:D70"/>
    <mergeCell ref="G70:H70"/>
    <mergeCell ref="I70:J70"/>
    <mergeCell ref="C67:D67"/>
    <mergeCell ref="G67:H67"/>
    <mergeCell ref="I67:J67"/>
    <mergeCell ref="C68:D68"/>
    <mergeCell ref="G68:H68"/>
    <mergeCell ref="I68:J68"/>
    <mergeCell ref="A60:J60"/>
    <mergeCell ref="G63:H63"/>
    <mergeCell ref="C26:D26"/>
    <mergeCell ref="G26:H26"/>
    <mergeCell ref="I26:J26"/>
    <mergeCell ref="A37:H37"/>
    <mergeCell ref="A38:J38"/>
    <mergeCell ref="A39:B39"/>
    <mergeCell ref="A40:B40"/>
    <mergeCell ref="A41:B41"/>
    <mergeCell ref="C76:D76"/>
    <mergeCell ref="G76:H76"/>
    <mergeCell ref="I76:J76"/>
    <mergeCell ref="A87:H87"/>
    <mergeCell ref="A88:J88"/>
    <mergeCell ref="A89:B89"/>
    <mergeCell ref="A90:B90"/>
    <mergeCell ref="C78:D78"/>
    <mergeCell ref="C72:D72"/>
    <mergeCell ref="G72:H72"/>
    <mergeCell ref="I72:J72"/>
    <mergeCell ref="C77:D77"/>
    <mergeCell ref="C75:D75"/>
    <mergeCell ref="G75:H75"/>
    <mergeCell ref="I75:J75"/>
    <mergeCell ref="C73:D73"/>
    <mergeCell ref="G73:H73"/>
    <mergeCell ref="I73:J73"/>
    <mergeCell ref="C74:D74"/>
    <mergeCell ref="G74:H74"/>
    <mergeCell ref="I74:J74"/>
    <mergeCell ref="A111:B111"/>
    <mergeCell ref="C111:D111"/>
    <mergeCell ref="E111:F111"/>
    <mergeCell ref="G111:H111"/>
    <mergeCell ref="I111:J111"/>
    <mergeCell ref="C112:D112"/>
    <mergeCell ref="G112:H112"/>
    <mergeCell ref="I112:J112"/>
    <mergeCell ref="I105:J105"/>
    <mergeCell ref="A106:H107"/>
    <mergeCell ref="I106:J107"/>
    <mergeCell ref="A109:H109"/>
    <mergeCell ref="I109:J109"/>
    <mergeCell ref="A110:J110"/>
    <mergeCell ref="A143:B143"/>
    <mergeCell ref="A144:B144"/>
    <mergeCell ref="A93:B93"/>
    <mergeCell ref="A94:B94"/>
    <mergeCell ref="A91:B91"/>
    <mergeCell ref="A92:B92"/>
    <mergeCell ref="C126:D126"/>
    <mergeCell ref="C118:D118"/>
    <mergeCell ref="C115:D115"/>
    <mergeCell ref="C116:D116"/>
    <mergeCell ref="A137:H137"/>
    <mergeCell ref="A138:J138"/>
    <mergeCell ref="A139:B139"/>
    <mergeCell ref="A140:B140"/>
    <mergeCell ref="G119:H119"/>
    <mergeCell ref="I119:J119"/>
    <mergeCell ref="C120:D120"/>
    <mergeCell ref="G116:H116"/>
    <mergeCell ref="I116:J116"/>
    <mergeCell ref="C113:D113"/>
    <mergeCell ref="G113:H113"/>
    <mergeCell ref="I113:J113"/>
    <mergeCell ref="C114:D114"/>
    <mergeCell ref="G114:H114"/>
    <mergeCell ref="G115:H115"/>
    <mergeCell ref="I115:J115"/>
    <mergeCell ref="A141:B141"/>
    <mergeCell ref="A142:B142"/>
    <mergeCell ref="G125:H125"/>
    <mergeCell ref="I125:J125"/>
    <mergeCell ref="G124:H124"/>
    <mergeCell ref="I124:J124"/>
    <mergeCell ref="C121:D121"/>
    <mergeCell ref="G121:H121"/>
    <mergeCell ref="I121:J121"/>
    <mergeCell ref="C122:D122"/>
    <mergeCell ref="G122:H122"/>
    <mergeCell ref="I122:J122"/>
    <mergeCell ref="C127:D127"/>
    <mergeCell ref="C128:D128"/>
    <mergeCell ref="A112:B128"/>
    <mergeCell ref="E112:F128"/>
    <mergeCell ref="G127:H127"/>
    <mergeCell ref="I114:J114"/>
    <mergeCell ref="I117:J117"/>
    <mergeCell ref="G118:H118"/>
    <mergeCell ref="I118:J118"/>
    <mergeCell ref="C71:D71"/>
    <mergeCell ref="G71:H71"/>
    <mergeCell ref="I71:J71"/>
    <mergeCell ref="I127:J127"/>
    <mergeCell ref="G128:H128"/>
    <mergeCell ref="I128:J128"/>
    <mergeCell ref="A62:B78"/>
    <mergeCell ref="E62:F78"/>
    <mergeCell ref="G77:H77"/>
    <mergeCell ref="I77:J77"/>
    <mergeCell ref="G78:H78"/>
    <mergeCell ref="I78:J78"/>
    <mergeCell ref="G120:H120"/>
    <mergeCell ref="I120:J120"/>
    <mergeCell ref="C117:D117"/>
    <mergeCell ref="G126:H126"/>
    <mergeCell ref="I126:J126"/>
    <mergeCell ref="C123:D123"/>
    <mergeCell ref="G123:H123"/>
    <mergeCell ref="I123:J123"/>
    <mergeCell ref="C124:D124"/>
    <mergeCell ref="C125:D125"/>
    <mergeCell ref="C119:D119"/>
    <mergeCell ref="G117:H117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L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4" t="s">
        <v>2</v>
      </c>
      <c r="J5" s="54"/>
    </row>
    <row r="6" spans="1:10" ht="15" customHeight="1" x14ac:dyDescent="0.2">
      <c r="A6" s="55" t="s">
        <v>103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0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5" t="s">
        <v>104</v>
      </c>
      <c r="B9" s="65"/>
      <c r="C9" s="65"/>
      <c r="D9" s="65"/>
      <c r="E9" s="65"/>
      <c r="F9" s="65"/>
      <c r="G9" s="65"/>
      <c r="H9" s="65"/>
      <c r="I9" s="73" t="s">
        <v>107</v>
      </c>
      <c r="J9" s="73"/>
    </row>
    <row r="10" spans="1:10" ht="15" customHeight="1" x14ac:dyDescent="0.2">
      <c r="A10" s="61" t="s">
        <v>117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 customHeight="1" x14ac:dyDescent="0.25">
      <c r="A11" s="68" t="s">
        <v>105</v>
      </c>
      <c r="B11" s="68"/>
      <c r="C11" s="68" t="s">
        <v>4</v>
      </c>
      <c r="D11" s="68"/>
      <c r="E11" s="68" t="s">
        <v>44</v>
      </c>
      <c r="F11" s="68"/>
      <c r="G11" s="68" t="s">
        <v>186</v>
      </c>
      <c r="H11" s="68"/>
      <c r="I11" s="68" t="s">
        <v>41</v>
      </c>
      <c r="J11" s="68"/>
    </row>
    <row r="12" spans="1:10" ht="15" customHeight="1" x14ac:dyDescent="0.2">
      <c r="A12" s="81" t="s">
        <v>106</v>
      </c>
      <c r="B12" s="81"/>
      <c r="C12" s="90" t="s">
        <v>116</v>
      </c>
      <c r="D12" s="91"/>
      <c r="E12" s="82">
        <v>1500</v>
      </c>
      <c r="F12" s="82"/>
      <c r="G12" s="63">
        <f>MROUND(57400*$I$8,5)</f>
        <v>59120</v>
      </c>
      <c r="H12" s="63"/>
      <c r="I12" s="64">
        <f t="shared" ref="I12:I25" si="0">ROUND(G12*$J$8,0)</f>
        <v>59120</v>
      </c>
      <c r="J12" s="64"/>
    </row>
    <row r="13" spans="1:10" ht="15" customHeight="1" x14ac:dyDescent="0.2">
      <c r="A13" s="81" t="s">
        <v>111</v>
      </c>
      <c r="B13" s="81"/>
      <c r="C13" s="90" t="s">
        <v>115</v>
      </c>
      <c r="D13" s="91"/>
      <c r="E13" s="82"/>
      <c r="F13" s="82"/>
      <c r="G13" s="63">
        <f>MROUND(64000*$I$8,5)</f>
        <v>65920</v>
      </c>
      <c r="H13" s="63"/>
      <c r="I13" s="64">
        <f t="shared" si="0"/>
        <v>65920</v>
      </c>
      <c r="J13" s="64"/>
    </row>
    <row r="14" spans="1:10" ht="15" customHeight="1" x14ac:dyDescent="0.2">
      <c r="A14" s="81" t="s">
        <v>110</v>
      </c>
      <c r="B14" s="81"/>
      <c r="C14" s="90" t="s">
        <v>114</v>
      </c>
      <c r="D14" s="91"/>
      <c r="E14" s="82"/>
      <c r="F14" s="82"/>
      <c r="G14" s="63">
        <f>MROUND(68000*$I$8,5)</f>
        <v>70040</v>
      </c>
      <c r="H14" s="63"/>
      <c r="I14" s="64">
        <f t="shared" si="0"/>
        <v>70040</v>
      </c>
      <c r="J14" s="64"/>
    </row>
    <row r="15" spans="1:10" ht="15" customHeight="1" x14ac:dyDescent="0.2">
      <c r="A15" s="81" t="s">
        <v>112</v>
      </c>
      <c r="B15" s="81"/>
      <c r="C15" s="90" t="s">
        <v>113</v>
      </c>
      <c r="D15" s="91"/>
      <c r="E15" s="82"/>
      <c r="F15" s="82"/>
      <c r="G15" s="63">
        <f>MROUND(78700*$I$8,5)</f>
        <v>81060</v>
      </c>
      <c r="H15" s="63"/>
      <c r="I15" s="64">
        <f t="shared" si="0"/>
        <v>81060</v>
      </c>
      <c r="J15" s="64"/>
    </row>
    <row r="16" spans="1:10" ht="1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2" ht="15" customHeight="1" x14ac:dyDescent="0.2">
      <c r="A17" s="81" t="s">
        <v>106</v>
      </c>
      <c r="B17" s="81"/>
      <c r="C17" s="90" t="s">
        <v>116</v>
      </c>
      <c r="D17" s="91"/>
      <c r="E17" s="82">
        <v>2000</v>
      </c>
      <c r="F17" s="82"/>
      <c r="G17" s="63">
        <f>MROUND(64000*$I$8,5)</f>
        <v>65920</v>
      </c>
      <c r="H17" s="63"/>
      <c r="I17" s="64">
        <f t="shared" si="0"/>
        <v>65920</v>
      </c>
      <c r="J17" s="64"/>
      <c r="L17" s="30"/>
    </row>
    <row r="18" spans="1:12" ht="15" customHeight="1" x14ac:dyDescent="0.2">
      <c r="A18" s="81" t="s">
        <v>111</v>
      </c>
      <c r="B18" s="81"/>
      <c r="C18" s="90" t="s">
        <v>115</v>
      </c>
      <c r="D18" s="91"/>
      <c r="E18" s="82"/>
      <c r="F18" s="82"/>
      <c r="G18" s="63">
        <f>MROUND(70700*$I$8,5)</f>
        <v>72820</v>
      </c>
      <c r="H18" s="63"/>
      <c r="I18" s="64">
        <f t="shared" si="0"/>
        <v>72820</v>
      </c>
      <c r="J18" s="64"/>
    </row>
    <row r="19" spans="1:12" ht="15" customHeight="1" x14ac:dyDescent="0.2">
      <c r="A19" s="81" t="s">
        <v>110</v>
      </c>
      <c r="B19" s="81"/>
      <c r="C19" s="90" t="s">
        <v>114</v>
      </c>
      <c r="D19" s="91"/>
      <c r="E19" s="82"/>
      <c r="F19" s="82"/>
      <c r="G19" s="63">
        <f>MROUND(72000*$I$8,5)</f>
        <v>74160</v>
      </c>
      <c r="H19" s="63"/>
      <c r="I19" s="64">
        <f t="shared" si="0"/>
        <v>74160</v>
      </c>
      <c r="J19" s="64"/>
    </row>
    <row r="20" spans="1:12" ht="15" customHeight="1" x14ac:dyDescent="0.2">
      <c r="A20" s="81" t="s">
        <v>112</v>
      </c>
      <c r="B20" s="81"/>
      <c r="C20" s="90" t="s">
        <v>113</v>
      </c>
      <c r="D20" s="91"/>
      <c r="E20" s="82"/>
      <c r="F20" s="82"/>
      <c r="G20" s="63">
        <f>MROUND(85400*$I$8,5)</f>
        <v>87960</v>
      </c>
      <c r="H20" s="63"/>
      <c r="I20" s="64">
        <f t="shared" si="0"/>
        <v>87960</v>
      </c>
      <c r="J20" s="64"/>
    </row>
    <row r="21" spans="1:12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2" ht="15" customHeight="1" x14ac:dyDescent="0.2">
      <c r="A22" s="81" t="s">
        <v>106</v>
      </c>
      <c r="B22" s="81"/>
      <c r="C22" s="90" t="s">
        <v>116</v>
      </c>
      <c r="D22" s="91"/>
      <c r="E22" s="82">
        <v>2500</v>
      </c>
      <c r="F22" s="82"/>
      <c r="G22" s="63">
        <f>MROUND(70700*$I$8,5)</f>
        <v>72820</v>
      </c>
      <c r="H22" s="63"/>
      <c r="I22" s="64">
        <f t="shared" si="0"/>
        <v>72820</v>
      </c>
      <c r="J22" s="64"/>
    </row>
    <row r="23" spans="1:12" ht="15" customHeight="1" x14ac:dyDescent="0.2">
      <c r="A23" s="81" t="s">
        <v>111</v>
      </c>
      <c r="B23" s="81"/>
      <c r="C23" s="90" t="s">
        <v>115</v>
      </c>
      <c r="D23" s="91"/>
      <c r="E23" s="82"/>
      <c r="F23" s="82"/>
      <c r="G23" s="63">
        <f>MROUND(77400*$I$8,5)</f>
        <v>79720</v>
      </c>
      <c r="H23" s="63"/>
      <c r="I23" s="64">
        <f t="shared" si="0"/>
        <v>79720</v>
      </c>
      <c r="J23" s="64"/>
    </row>
    <row r="24" spans="1:12" ht="15" customHeight="1" x14ac:dyDescent="0.2">
      <c r="A24" s="81" t="s">
        <v>110</v>
      </c>
      <c r="B24" s="81"/>
      <c r="C24" s="90" t="s">
        <v>114</v>
      </c>
      <c r="D24" s="91"/>
      <c r="E24" s="82"/>
      <c r="F24" s="82"/>
      <c r="G24" s="63">
        <f>MROUND(82700*$I$8,5)</f>
        <v>85180</v>
      </c>
      <c r="H24" s="63"/>
      <c r="I24" s="64">
        <f t="shared" si="0"/>
        <v>85180</v>
      </c>
      <c r="J24" s="64"/>
    </row>
    <row r="25" spans="1:12" ht="15" customHeight="1" x14ac:dyDescent="0.2">
      <c r="A25" s="81" t="s">
        <v>112</v>
      </c>
      <c r="B25" s="81"/>
      <c r="C25" s="90" t="s">
        <v>113</v>
      </c>
      <c r="D25" s="91"/>
      <c r="E25" s="82"/>
      <c r="F25" s="82"/>
      <c r="G25" s="63">
        <f>MROUND(92000*$I$8,5)</f>
        <v>94760</v>
      </c>
      <c r="H25" s="63"/>
      <c r="I25" s="64">
        <f t="shared" si="0"/>
        <v>94760</v>
      </c>
      <c r="J25" s="64"/>
    </row>
    <row r="26" spans="1:12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2" ht="15" customHeight="1" x14ac:dyDescent="0.25">
      <c r="A27" s="65" t="s">
        <v>122</v>
      </c>
      <c r="B27" s="65"/>
      <c r="C27" s="65"/>
      <c r="D27" s="65"/>
      <c r="E27" s="65"/>
      <c r="F27" s="65"/>
      <c r="G27" s="65"/>
      <c r="H27" s="65"/>
      <c r="I27" s="73" t="s">
        <v>107</v>
      </c>
      <c r="J27" s="73"/>
    </row>
    <row r="28" spans="1:12" ht="15" customHeight="1" x14ac:dyDescent="0.2">
      <c r="A28" s="61" t="s">
        <v>117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2" ht="15" customHeight="1" x14ac:dyDescent="0.25">
      <c r="A29" s="68" t="s">
        <v>105</v>
      </c>
      <c r="B29" s="68"/>
      <c r="C29" s="68" t="s">
        <v>4</v>
      </c>
      <c r="D29" s="68"/>
      <c r="E29" s="68" t="s">
        <v>44</v>
      </c>
      <c r="F29" s="68"/>
      <c r="G29" s="68" t="s">
        <v>186</v>
      </c>
      <c r="H29" s="68"/>
      <c r="I29" s="68" t="s">
        <v>41</v>
      </c>
      <c r="J29" s="68"/>
    </row>
    <row r="30" spans="1:12" ht="15" customHeight="1" x14ac:dyDescent="0.2">
      <c r="A30" s="81" t="s">
        <v>106</v>
      </c>
      <c r="B30" s="81"/>
      <c r="C30" s="90" t="s">
        <v>118</v>
      </c>
      <c r="D30" s="91"/>
      <c r="E30" s="82">
        <v>2000</v>
      </c>
      <c r="F30" s="82"/>
      <c r="G30" s="63">
        <f>MROUND(64000*$I$8,5)</f>
        <v>65920</v>
      </c>
      <c r="H30" s="63"/>
      <c r="I30" s="64">
        <f t="shared" ref="I30:I38" si="1">ROUND(G30*$J$8,0)</f>
        <v>65920</v>
      </c>
      <c r="J30" s="64"/>
    </row>
    <row r="31" spans="1:12" ht="15" customHeight="1" x14ac:dyDescent="0.2">
      <c r="A31" s="81" t="s">
        <v>111</v>
      </c>
      <c r="B31" s="81"/>
      <c r="C31" s="90" t="s">
        <v>119</v>
      </c>
      <c r="D31" s="91"/>
      <c r="E31" s="82"/>
      <c r="F31" s="82"/>
      <c r="G31" s="63">
        <f>MROUND(70700*$I$8,5)</f>
        <v>72820</v>
      </c>
      <c r="H31" s="63"/>
      <c r="I31" s="64">
        <f t="shared" si="1"/>
        <v>72820</v>
      </c>
      <c r="J31" s="64"/>
    </row>
    <row r="32" spans="1:12" ht="15" customHeight="1" x14ac:dyDescent="0.2">
      <c r="A32" s="81" t="s">
        <v>110</v>
      </c>
      <c r="B32" s="81"/>
      <c r="C32" s="90" t="s">
        <v>120</v>
      </c>
      <c r="D32" s="91"/>
      <c r="E32" s="82"/>
      <c r="F32" s="82"/>
      <c r="G32" s="63">
        <f>MROUND(72000*$I$8,5)</f>
        <v>74160</v>
      </c>
      <c r="H32" s="63"/>
      <c r="I32" s="64">
        <f t="shared" si="1"/>
        <v>74160</v>
      </c>
      <c r="J32" s="64"/>
    </row>
    <row r="33" spans="1:10" ht="15" customHeight="1" x14ac:dyDescent="0.2">
      <c r="A33" s="81" t="s">
        <v>112</v>
      </c>
      <c r="B33" s="81"/>
      <c r="C33" s="90" t="s">
        <v>121</v>
      </c>
      <c r="D33" s="91"/>
      <c r="E33" s="82"/>
      <c r="F33" s="82"/>
      <c r="G33" s="63">
        <f>MROUND(85400*$I$8,5)</f>
        <v>87960</v>
      </c>
      <c r="H33" s="63"/>
      <c r="I33" s="64">
        <f t="shared" si="1"/>
        <v>87960</v>
      </c>
      <c r="J33" s="64"/>
    </row>
    <row r="34" spans="1:10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81" t="s">
        <v>106</v>
      </c>
      <c r="B35" s="81"/>
      <c r="C35" s="90" t="s">
        <v>118</v>
      </c>
      <c r="D35" s="91"/>
      <c r="E35" s="82">
        <v>2500</v>
      </c>
      <c r="F35" s="82"/>
      <c r="G35" s="63">
        <f>MROUND(70700*$I$8,5)</f>
        <v>72820</v>
      </c>
      <c r="H35" s="63"/>
      <c r="I35" s="64">
        <f t="shared" si="1"/>
        <v>72820</v>
      </c>
      <c r="J35" s="64"/>
    </row>
    <row r="36" spans="1:10" ht="15" customHeight="1" x14ac:dyDescent="0.2">
      <c r="A36" s="81" t="s">
        <v>111</v>
      </c>
      <c r="B36" s="81"/>
      <c r="C36" s="90" t="s">
        <v>119</v>
      </c>
      <c r="D36" s="91"/>
      <c r="E36" s="82"/>
      <c r="F36" s="82"/>
      <c r="G36" s="63">
        <f>MROUND(77400*$I$8,5)</f>
        <v>79720</v>
      </c>
      <c r="H36" s="63"/>
      <c r="I36" s="64">
        <f t="shared" si="1"/>
        <v>79720</v>
      </c>
      <c r="J36" s="64"/>
    </row>
    <row r="37" spans="1:10" ht="15" customHeight="1" x14ac:dyDescent="0.2">
      <c r="A37" s="81" t="s">
        <v>110</v>
      </c>
      <c r="B37" s="81"/>
      <c r="C37" s="90" t="s">
        <v>120</v>
      </c>
      <c r="D37" s="91"/>
      <c r="E37" s="82"/>
      <c r="F37" s="82"/>
      <c r="G37" s="63">
        <f>MROUND(82700*$I$8,5)</f>
        <v>85180</v>
      </c>
      <c r="H37" s="63"/>
      <c r="I37" s="64">
        <f t="shared" si="1"/>
        <v>85180</v>
      </c>
      <c r="J37" s="64"/>
    </row>
    <row r="38" spans="1:10" ht="15" customHeight="1" x14ac:dyDescent="0.2">
      <c r="A38" s="81" t="s">
        <v>112</v>
      </c>
      <c r="B38" s="81"/>
      <c r="C38" s="90" t="s">
        <v>121</v>
      </c>
      <c r="D38" s="91"/>
      <c r="E38" s="82"/>
      <c r="F38" s="82"/>
      <c r="G38" s="63">
        <f>MROUND(92000*$I$8,5)</f>
        <v>94760</v>
      </c>
      <c r="H38" s="63"/>
      <c r="I38" s="64">
        <f t="shared" si="1"/>
        <v>94760</v>
      </c>
      <c r="J38" s="64"/>
    </row>
    <row r="39" spans="1:10" ht="15" customHeight="1" x14ac:dyDescent="0.2">
      <c r="A39" s="3"/>
      <c r="B39" s="5"/>
      <c r="C39" s="15"/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3" t="s">
        <v>32</v>
      </c>
      <c r="B40" s="5"/>
      <c r="C40" s="15"/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3" t="s">
        <v>33</v>
      </c>
      <c r="B41" s="5"/>
      <c r="C41" s="15"/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3" t="s">
        <v>35</v>
      </c>
      <c r="B42" s="5"/>
      <c r="C42" s="15"/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3" t="s">
        <v>36</v>
      </c>
      <c r="B43" s="5"/>
      <c r="C43" s="15"/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4" t="s">
        <v>34</v>
      </c>
      <c r="B44" s="5"/>
      <c r="C44" s="15"/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5"/>
      <c r="B45" s="5"/>
      <c r="C45" s="15"/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0" ht="15" customHeight="1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ht="15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ht="15" customHeight="1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 x14ac:dyDescent="0.2"/>
    <row r="56" spans="2:10" ht="15" customHeight="1" x14ac:dyDescent="0.2"/>
    <row r="57" spans="2:10" ht="15" customHeight="1" x14ac:dyDescent="0.2"/>
    <row r="58" spans="2:10" ht="15" customHeight="1" x14ac:dyDescent="0.2"/>
    <row r="59" spans="2:10" ht="15" customHeight="1" x14ac:dyDescent="0.2"/>
    <row r="60" spans="2:10" ht="15" customHeight="1" x14ac:dyDescent="0.2"/>
    <row r="61" spans="2:10" ht="15" customHeight="1" x14ac:dyDescent="0.2"/>
    <row r="62" spans="2:10" ht="15" customHeight="1" x14ac:dyDescent="0.2"/>
    <row r="63" spans="2:10" ht="15" customHeight="1" x14ac:dyDescent="0.2"/>
    <row r="64" spans="2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104">
    <mergeCell ref="G38:H38"/>
    <mergeCell ref="I38:J38"/>
    <mergeCell ref="I33:J33"/>
    <mergeCell ref="A35:B35"/>
    <mergeCell ref="C35:D35"/>
    <mergeCell ref="E35:F38"/>
    <mergeCell ref="G35:H35"/>
    <mergeCell ref="I35:J35"/>
    <mergeCell ref="A36:B36"/>
    <mergeCell ref="C36:D36"/>
    <mergeCell ref="G36:H36"/>
    <mergeCell ref="I36:J36"/>
    <mergeCell ref="A37:B37"/>
    <mergeCell ref="C37:D37"/>
    <mergeCell ref="G37:H37"/>
    <mergeCell ref="I37:J37"/>
    <mergeCell ref="A38:B38"/>
    <mergeCell ref="C38:D38"/>
    <mergeCell ref="G25:H25"/>
    <mergeCell ref="I25:J25"/>
    <mergeCell ref="G23:H23"/>
    <mergeCell ref="I23:J23"/>
    <mergeCell ref="G24:H24"/>
    <mergeCell ref="I24:J24"/>
    <mergeCell ref="A30:B30"/>
    <mergeCell ref="C30:D30"/>
    <mergeCell ref="E30:F33"/>
    <mergeCell ref="G30:H30"/>
    <mergeCell ref="I30:J30"/>
    <mergeCell ref="A31:B31"/>
    <mergeCell ref="C31:D31"/>
    <mergeCell ref="G31:H31"/>
    <mergeCell ref="I31:J31"/>
    <mergeCell ref="A32:B32"/>
    <mergeCell ref="C32:D32"/>
    <mergeCell ref="G32:H32"/>
    <mergeCell ref="I32:J32"/>
    <mergeCell ref="A33:B33"/>
    <mergeCell ref="C33:D33"/>
    <mergeCell ref="G33:H33"/>
    <mergeCell ref="G22:H22"/>
    <mergeCell ref="I22:J22"/>
    <mergeCell ref="C18:D18"/>
    <mergeCell ref="A17:B17"/>
    <mergeCell ref="G18:H18"/>
    <mergeCell ref="I18:J18"/>
    <mergeCell ref="A18:B18"/>
    <mergeCell ref="A29:B29"/>
    <mergeCell ref="C29:D29"/>
    <mergeCell ref="E29:F29"/>
    <mergeCell ref="G29:H29"/>
    <mergeCell ref="I29:J29"/>
    <mergeCell ref="A22:B22"/>
    <mergeCell ref="C22:D22"/>
    <mergeCell ref="E22:F25"/>
    <mergeCell ref="A23:B23"/>
    <mergeCell ref="C23:D23"/>
    <mergeCell ref="A24:B24"/>
    <mergeCell ref="C24:D24"/>
    <mergeCell ref="A25:B25"/>
    <mergeCell ref="C25:D25"/>
    <mergeCell ref="A27:H27"/>
    <mergeCell ref="A28:J28"/>
    <mergeCell ref="I27:J27"/>
    <mergeCell ref="C15:D15"/>
    <mergeCell ref="C17:D17"/>
    <mergeCell ref="E17:F20"/>
    <mergeCell ref="A19:B19"/>
    <mergeCell ref="C19:D19"/>
    <mergeCell ref="A20:B20"/>
    <mergeCell ref="C20:D20"/>
    <mergeCell ref="G19:H19"/>
    <mergeCell ref="I19:J19"/>
    <mergeCell ref="G15:H15"/>
    <mergeCell ref="I15:J15"/>
    <mergeCell ref="G17:H17"/>
    <mergeCell ref="A15:B15"/>
    <mergeCell ref="I17:J17"/>
    <mergeCell ref="G20:H20"/>
    <mergeCell ref="I20:J20"/>
    <mergeCell ref="I5:J5"/>
    <mergeCell ref="A6:H7"/>
    <mergeCell ref="I6:J7"/>
    <mergeCell ref="A9:H9"/>
    <mergeCell ref="I9:J9"/>
    <mergeCell ref="G13:H13"/>
    <mergeCell ref="I13:J13"/>
    <mergeCell ref="G14:H14"/>
    <mergeCell ref="I14:J14"/>
    <mergeCell ref="A11:B11"/>
    <mergeCell ref="C11:D11"/>
    <mergeCell ref="E11:F11"/>
    <mergeCell ref="G11:H11"/>
    <mergeCell ref="I11:J11"/>
    <mergeCell ref="C12:D12"/>
    <mergeCell ref="G12:H12"/>
    <mergeCell ref="I12:J12"/>
    <mergeCell ref="A13:B13"/>
    <mergeCell ref="A14:B14"/>
    <mergeCell ref="A10:J10"/>
    <mergeCell ref="C13:D13"/>
    <mergeCell ref="C14:D14"/>
    <mergeCell ref="E12:F15"/>
    <mergeCell ref="A12:B12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00"/>
  <sheetViews>
    <sheetView showGridLines="0" view="pageBreakPreview" zoomScale="120" zoomScaleNormal="120" zoomScaleSheetLayoutView="120" workbookViewId="0">
      <selection activeCell="I6" sqref="I6:J7"/>
    </sheetView>
  </sheetViews>
  <sheetFormatPr defaultRowHeight="14.25" x14ac:dyDescent="0.2"/>
  <cols>
    <col min="1" max="25" width="8.625" style="1" customWidth="1"/>
    <col min="26" max="16384" width="9" style="1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/>
    <row r="5" spans="1:10" ht="15" customHeight="1" thickBot="1" x14ac:dyDescent="0.25">
      <c r="I5" s="54" t="s">
        <v>2</v>
      </c>
      <c r="J5" s="54"/>
    </row>
    <row r="6" spans="1:10" ht="15" customHeight="1" x14ac:dyDescent="0.2">
      <c r="A6" s="55" t="s">
        <v>108</v>
      </c>
      <c r="B6" s="55"/>
      <c r="C6" s="55"/>
      <c r="D6" s="55"/>
      <c r="E6" s="55"/>
      <c r="F6" s="55"/>
      <c r="G6" s="55"/>
      <c r="H6" s="56"/>
      <c r="I6" s="69">
        <f>'Buňky G-GE-GH'!I6:J7</f>
        <v>0</v>
      </c>
      <c r="J6" s="70"/>
    </row>
    <row r="7" spans="1:10" ht="15" customHeight="1" thickBot="1" x14ac:dyDescent="0.25">
      <c r="A7" s="55"/>
      <c r="B7" s="55"/>
      <c r="C7" s="55"/>
      <c r="D7" s="55"/>
      <c r="E7" s="55"/>
      <c r="F7" s="55"/>
      <c r="G7" s="55"/>
      <c r="H7" s="56"/>
      <c r="I7" s="71"/>
      <c r="J7" s="72"/>
    </row>
    <row r="8" spans="1:10" ht="15" customHeight="1" x14ac:dyDescent="0.2">
      <c r="I8" s="30">
        <f>1*1.03</f>
        <v>1.03</v>
      </c>
      <c r="J8" s="30">
        <f>1-I6</f>
        <v>1</v>
      </c>
    </row>
    <row r="9" spans="1:10" ht="15" customHeight="1" x14ac:dyDescent="0.25">
      <c r="A9" s="65" t="s">
        <v>124</v>
      </c>
      <c r="B9" s="65"/>
      <c r="C9" s="65"/>
      <c r="D9" s="65"/>
      <c r="E9" s="65"/>
      <c r="F9" s="65"/>
      <c r="G9" s="65"/>
      <c r="H9" s="65"/>
      <c r="I9" s="73" t="s">
        <v>109</v>
      </c>
      <c r="J9" s="73"/>
    </row>
    <row r="10" spans="1:10" ht="15" customHeight="1" x14ac:dyDescent="0.2">
      <c r="A10" s="100" t="s">
        <v>123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 customHeight="1" x14ac:dyDescent="0.25">
      <c r="A11" s="101" t="s">
        <v>125</v>
      </c>
      <c r="B11" s="102"/>
      <c r="C11" s="102"/>
      <c r="D11" s="102"/>
      <c r="E11" s="102"/>
      <c r="F11" s="103"/>
      <c r="G11" s="68" t="s">
        <v>186</v>
      </c>
      <c r="H11" s="68"/>
      <c r="I11" s="68" t="s">
        <v>41</v>
      </c>
      <c r="J11" s="68"/>
    </row>
    <row r="12" spans="1:10" ht="15" customHeight="1" x14ac:dyDescent="0.2">
      <c r="A12" s="97" t="s">
        <v>177</v>
      </c>
      <c r="B12" s="98"/>
      <c r="C12" s="98"/>
      <c r="D12" s="98"/>
      <c r="E12" s="98"/>
      <c r="F12" s="99"/>
      <c r="G12" s="63">
        <f>MROUND(975*$I$8,5)</f>
        <v>1005</v>
      </c>
      <c r="H12" s="63"/>
      <c r="I12" s="64">
        <f t="shared" ref="I12" si="0">ROUND(G12*$J$8,0)</f>
        <v>1005</v>
      </c>
      <c r="J12" s="64"/>
    </row>
    <row r="13" spans="1:10" ht="15" customHeight="1" x14ac:dyDescent="0.2">
      <c r="A13" s="97" t="s">
        <v>126</v>
      </c>
      <c r="B13" s="98"/>
      <c r="C13" s="98"/>
      <c r="D13" s="98"/>
      <c r="E13" s="98"/>
      <c r="F13" s="99"/>
      <c r="G13" s="63">
        <f>MROUND(1150*$I$8,5)</f>
        <v>1185</v>
      </c>
      <c r="H13" s="63"/>
      <c r="I13" s="64">
        <f t="shared" ref="I13:I25" si="1">ROUND(G13*$J$8,0)</f>
        <v>1185</v>
      </c>
      <c r="J13" s="64"/>
    </row>
    <row r="14" spans="1:10" ht="15" customHeight="1" x14ac:dyDescent="0.2">
      <c r="A14" s="97" t="s">
        <v>127</v>
      </c>
      <c r="B14" s="98"/>
      <c r="C14" s="98"/>
      <c r="D14" s="98"/>
      <c r="E14" s="98"/>
      <c r="F14" s="99"/>
      <c r="G14" s="63">
        <f>MROUND(580*$I$8,5)</f>
        <v>595</v>
      </c>
      <c r="H14" s="63"/>
      <c r="I14" s="64">
        <f t="shared" si="1"/>
        <v>595</v>
      </c>
      <c r="J14" s="64"/>
    </row>
    <row r="15" spans="1:10" ht="15" customHeight="1" x14ac:dyDescent="0.2">
      <c r="A15" s="97" t="s">
        <v>128</v>
      </c>
      <c r="B15" s="98"/>
      <c r="C15" s="98"/>
      <c r="D15" s="98"/>
      <c r="E15" s="98"/>
      <c r="F15" s="99"/>
      <c r="G15" s="63">
        <f>MROUND(780*$I$8,5)</f>
        <v>805</v>
      </c>
      <c r="H15" s="63"/>
      <c r="I15" s="64">
        <f t="shared" si="1"/>
        <v>805</v>
      </c>
      <c r="J15" s="64"/>
    </row>
    <row r="16" spans="1:10" ht="15" customHeight="1" x14ac:dyDescent="0.2">
      <c r="A16" s="97" t="s">
        <v>129</v>
      </c>
      <c r="B16" s="98"/>
      <c r="C16" s="98"/>
      <c r="D16" s="98"/>
      <c r="E16" s="98"/>
      <c r="F16" s="99"/>
      <c r="G16" s="63">
        <f>MROUND(1030*$I$8,5)</f>
        <v>1060</v>
      </c>
      <c r="H16" s="63"/>
      <c r="I16" s="64">
        <f t="shared" si="1"/>
        <v>1060</v>
      </c>
      <c r="J16" s="64"/>
    </row>
    <row r="17" spans="1:10" ht="15" customHeight="1" x14ac:dyDescent="0.2">
      <c r="A17" s="97" t="s">
        <v>130</v>
      </c>
      <c r="B17" s="98"/>
      <c r="C17" s="98"/>
      <c r="D17" s="98"/>
      <c r="E17" s="98"/>
      <c r="F17" s="99"/>
      <c r="G17" s="63">
        <f>MROUND(1275*$I$8,5)</f>
        <v>1315</v>
      </c>
      <c r="H17" s="63"/>
      <c r="I17" s="64">
        <f t="shared" si="1"/>
        <v>1315</v>
      </c>
      <c r="J17" s="64"/>
    </row>
    <row r="18" spans="1:10" ht="15" customHeight="1" x14ac:dyDescent="0.2">
      <c r="A18" s="97" t="s">
        <v>131</v>
      </c>
      <c r="B18" s="98"/>
      <c r="C18" s="98"/>
      <c r="D18" s="98"/>
      <c r="E18" s="98"/>
      <c r="F18" s="99"/>
      <c r="G18" s="63">
        <f>MROUND(665*$I$8,5)</f>
        <v>685</v>
      </c>
      <c r="H18" s="63"/>
      <c r="I18" s="64">
        <f t="shared" si="1"/>
        <v>685</v>
      </c>
      <c r="J18" s="64"/>
    </row>
    <row r="19" spans="1:10" ht="15" customHeight="1" x14ac:dyDescent="0.2">
      <c r="A19" s="97" t="s">
        <v>132</v>
      </c>
      <c r="B19" s="98"/>
      <c r="C19" s="98"/>
      <c r="D19" s="98"/>
      <c r="E19" s="98"/>
      <c r="F19" s="99"/>
      <c r="G19" s="63">
        <f>MROUND(890*$I$8,5)</f>
        <v>915</v>
      </c>
      <c r="H19" s="63"/>
      <c r="I19" s="64">
        <f t="shared" si="1"/>
        <v>915</v>
      </c>
      <c r="J19" s="64"/>
    </row>
    <row r="20" spans="1:10" ht="15" customHeight="1" x14ac:dyDescent="0.2">
      <c r="A20" s="97" t="s">
        <v>133</v>
      </c>
      <c r="B20" s="98"/>
      <c r="C20" s="98"/>
      <c r="D20" s="98"/>
      <c r="E20" s="98"/>
      <c r="F20" s="99"/>
      <c r="G20" s="63">
        <f>MROUND(1180*$I$8,5)</f>
        <v>1215</v>
      </c>
      <c r="H20" s="63"/>
      <c r="I20" s="64">
        <f t="shared" si="1"/>
        <v>1215</v>
      </c>
      <c r="J20" s="64"/>
    </row>
    <row r="21" spans="1:10" ht="15" customHeight="1" x14ac:dyDescent="0.2">
      <c r="A21" s="97" t="s">
        <v>134</v>
      </c>
      <c r="B21" s="98"/>
      <c r="C21" s="98"/>
      <c r="D21" s="98"/>
      <c r="E21" s="98"/>
      <c r="F21" s="99"/>
      <c r="G21" s="63">
        <f>MROUND(1465*$I$8,5)</f>
        <v>1510</v>
      </c>
      <c r="H21" s="63"/>
      <c r="I21" s="64">
        <f t="shared" si="1"/>
        <v>1510</v>
      </c>
      <c r="J21" s="64"/>
    </row>
    <row r="22" spans="1:10" ht="15" customHeight="1" x14ac:dyDescent="0.2">
      <c r="A22" s="97" t="s">
        <v>135</v>
      </c>
      <c r="B22" s="98"/>
      <c r="C22" s="98"/>
      <c r="D22" s="98"/>
      <c r="E22" s="98"/>
      <c r="F22" s="99"/>
      <c r="G22" s="63">
        <f>MROUND(745*$I$8,5)</f>
        <v>765</v>
      </c>
      <c r="H22" s="63"/>
      <c r="I22" s="64">
        <f t="shared" si="1"/>
        <v>765</v>
      </c>
      <c r="J22" s="64"/>
    </row>
    <row r="23" spans="1:10" ht="15" customHeight="1" x14ac:dyDescent="0.2">
      <c r="A23" s="97" t="s">
        <v>136</v>
      </c>
      <c r="B23" s="98"/>
      <c r="C23" s="98"/>
      <c r="D23" s="98"/>
      <c r="E23" s="98"/>
      <c r="F23" s="99"/>
      <c r="G23" s="63">
        <f>MROUND(1000*$I$8,5)</f>
        <v>1030</v>
      </c>
      <c r="H23" s="63"/>
      <c r="I23" s="64">
        <f t="shared" si="1"/>
        <v>1030</v>
      </c>
      <c r="J23" s="64"/>
    </row>
    <row r="24" spans="1:10" ht="15" customHeight="1" x14ac:dyDescent="0.2">
      <c r="A24" s="97" t="s">
        <v>137</v>
      </c>
      <c r="B24" s="98"/>
      <c r="C24" s="98"/>
      <c r="D24" s="98"/>
      <c r="E24" s="98"/>
      <c r="F24" s="99"/>
      <c r="G24" s="63">
        <f>MROUND(1325*$I$8,5)</f>
        <v>1365</v>
      </c>
      <c r="H24" s="63"/>
      <c r="I24" s="64">
        <f t="shared" si="1"/>
        <v>1365</v>
      </c>
      <c r="J24" s="64"/>
    </row>
    <row r="25" spans="1:10" ht="15" customHeight="1" x14ac:dyDescent="0.2">
      <c r="A25" s="97" t="s">
        <v>138</v>
      </c>
      <c r="B25" s="98"/>
      <c r="C25" s="98"/>
      <c r="D25" s="98"/>
      <c r="E25" s="98"/>
      <c r="F25" s="99"/>
      <c r="G25" s="63">
        <f>MROUND(1650*$I$8,5)</f>
        <v>1700</v>
      </c>
      <c r="H25" s="63"/>
      <c r="I25" s="64">
        <f t="shared" si="1"/>
        <v>1700</v>
      </c>
      <c r="J25" s="64"/>
    </row>
    <row r="26" spans="1:10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 x14ac:dyDescent="0.25">
      <c r="A27" s="65" t="s">
        <v>139</v>
      </c>
      <c r="B27" s="65"/>
      <c r="C27" s="65"/>
      <c r="D27" s="65"/>
      <c r="E27" s="65"/>
      <c r="F27" s="65"/>
      <c r="G27" s="65"/>
      <c r="H27" s="65"/>
      <c r="I27" s="73" t="s">
        <v>140</v>
      </c>
      <c r="J27" s="73"/>
    </row>
    <row r="28" spans="1:10" ht="15" customHeight="1" x14ac:dyDescent="0.2">
      <c r="A28" s="100" t="s">
        <v>141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5" customHeight="1" x14ac:dyDescent="0.25">
      <c r="A29" s="101" t="s">
        <v>125</v>
      </c>
      <c r="B29" s="102"/>
      <c r="C29" s="102"/>
      <c r="D29" s="102"/>
      <c r="E29" s="102"/>
      <c r="F29" s="103"/>
      <c r="G29" s="68" t="s">
        <v>186</v>
      </c>
      <c r="H29" s="68"/>
      <c r="I29" s="68" t="s">
        <v>41</v>
      </c>
      <c r="J29" s="68"/>
    </row>
    <row r="30" spans="1:10" ht="15" customHeight="1" x14ac:dyDescent="0.2">
      <c r="A30" s="97" t="s">
        <v>142</v>
      </c>
      <c r="B30" s="98"/>
      <c r="C30" s="98"/>
      <c r="D30" s="98"/>
      <c r="E30" s="98"/>
      <c r="F30" s="99"/>
      <c r="G30" s="63">
        <f>MROUND(300*$I$8,5)</f>
        <v>310</v>
      </c>
      <c r="H30" s="63"/>
      <c r="I30" s="64">
        <f t="shared" ref="I30" si="2">ROUND(G30*$J$8,0)</f>
        <v>310</v>
      </c>
      <c r="J30" s="64"/>
    </row>
    <row r="31" spans="1:10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 x14ac:dyDescent="0.25">
      <c r="A32" s="65" t="s">
        <v>144</v>
      </c>
      <c r="B32" s="65"/>
      <c r="C32" s="65"/>
      <c r="D32" s="65"/>
      <c r="E32" s="65"/>
      <c r="F32" s="65"/>
      <c r="G32" s="65"/>
      <c r="H32" s="65"/>
      <c r="I32" s="73" t="s">
        <v>145</v>
      </c>
      <c r="J32" s="73"/>
    </row>
    <row r="33" spans="1:10" ht="15" customHeight="1" x14ac:dyDescent="0.2">
      <c r="A33" s="100" t="s">
        <v>146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5" customHeight="1" x14ac:dyDescent="0.25">
      <c r="A34" s="101" t="s">
        <v>125</v>
      </c>
      <c r="B34" s="102"/>
      <c r="C34" s="102"/>
      <c r="D34" s="102"/>
      <c r="E34" s="102"/>
      <c r="F34" s="103"/>
      <c r="G34" s="68" t="s">
        <v>186</v>
      </c>
      <c r="H34" s="68"/>
      <c r="I34" s="68" t="s">
        <v>41</v>
      </c>
      <c r="J34" s="68"/>
    </row>
    <row r="35" spans="1:10" ht="15" customHeight="1" x14ac:dyDescent="0.2">
      <c r="A35" s="97" t="s">
        <v>172</v>
      </c>
      <c r="B35" s="98"/>
      <c r="C35" s="98"/>
      <c r="D35" s="98"/>
      <c r="E35" s="98"/>
      <c r="F35" s="99"/>
      <c r="G35" s="63">
        <f>MROUND(1100*$I$8,5)</f>
        <v>1135</v>
      </c>
      <c r="H35" s="63"/>
      <c r="I35" s="64">
        <f t="shared" ref="I35" si="3">ROUND(G35*$J$8,0)</f>
        <v>1135</v>
      </c>
      <c r="J35" s="64"/>
    </row>
    <row r="36" spans="1:10" ht="15" customHeight="1" x14ac:dyDescent="0.2">
      <c r="A36" s="97" t="s">
        <v>173</v>
      </c>
      <c r="B36" s="98"/>
      <c r="C36" s="98"/>
      <c r="D36" s="98"/>
      <c r="E36" s="98"/>
      <c r="F36" s="99"/>
      <c r="G36" s="63">
        <f>MROUND(1320*$I$8,5)</f>
        <v>1360</v>
      </c>
      <c r="H36" s="63"/>
      <c r="I36" s="64">
        <f t="shared" ref="I36" si="4">ROUND(G36*$J$8,0)</f>
        <v>1360</v>
      </c>
      <c r="J36" s="64"/>
    </row>
    <row r="37" spans="1:10" ht="15" customHeight="1" x14ac:dyDescent="0.2">
      <c r="A37" s="97" t="s">
        <v>179</v>
      </c>
      <c r="B37" s="98"/>
      <c r="C37" s="98"/>
      <c r="D37" s="98"/>
      <c r="E37" s="98"/>
      <c r="F37" s="99"/>
      <c r="G37" s="63">
        <f>MROUND(2700*$I$8,5)</f>
        <v>2780</v>
      </c>
      <c r="H37" s="63"/>
      <c r="I37" s="64">
        <f t="shared" ref="I37" si="5">ROUND(G37*$J$8,0)</f>
        <v>2780</v>
      </c>
      <c r="J37" s="64"/>
    </row>
    <row r="38" spans="1:10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 customHeight="1" x14ac:dyDescent="0.25">
      <c r="A39" s="65" t="s">
        <v>147</v>
      </c>
      <c r="B39" s="65"/>
      <c r="C39" s="65"/>
      <c r="D39" s="65"/>
      <c r="E39" s="65"/>
      <c r="F39" s="65"/>
      <c r="G39" s="65"/>
      <c r="H39" s="65"/>
      <c r="I39" s="73"/>
      <c r="J39" s="73"/>
    </row>
    <row r="40" spans="1:10" ht="15" customHeight="1" x14ac:dyDescent="0.2">
      <c r="A40" s="100" t="s">
        <v>148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5" customHeight="1" x14ac:dyDescent="0.25">
      <c r="A41" s="101" t="s">
        <v>125</v>
      </c>
      <c r="B41" s="102"/>
      <c r="C41" s="102"/>
      <c r="D41" s="102"/>
      <c r="E41" s="102"/>
      <c r="F41" s="103"/>
      <c r="G41" s="68" t="s">
        <v>40</v>
      </c>
      <c r="H41" s="68"/>
      <c r="I41" s="68" t="s">
        <v>41</v>
      </c>
      <c r="J41" s="68"/>
    </row>
    <row r="42" spans="1:10" ht="15" customHeight="1" x14ac:dyDescent="0.2">
      <c r="A42" s="97" t="s">
        <v>149</v>
      </c>
      <c r="B42" s="98"/>
      <c r="C42" s="98"/>
      <c r="D42" s="98"/>
      <c r="E42" s="98"/>
      <c r="F42" s="99"/>
      <c r="G42" s="63">
        <f>MROUND(70*$I$8,5)</f>
        <v>70</v>
      </c>
      <c r="H42" s="63"/>
      <c r="I42" s="64">
        <f t="shared" ref="I42:I44" si="6">ROUND(G42*$J$8,0)</f>
        <v>70</v>
      </c>
      <c r="J42" s="64"/>
    </row>
    <row r="43" spans="1:10" ht="15" customHeight="1" x14ac:dyDescent="0.2">
      <c r="A43" s="97" t="s">
        <v>174</v>
      </c>
      <c r="B43" s="98"/>
      <c r="C43" s="98"/>
      <c r="D43" s="98"/>
      <c r="E43" s="98"/>
      <c r="F43" s="99"/>
      <c r="G43" s="63">
        <f>MROUND(110*$I$8,5)</f>
        <v>115</v>
      </c>
      <c r="H43" s="63"/>
      <c r="I43" s="64">
        <f t="shared" si="6"/>
        <v>115</v>
      </c>
      <c r="J43" s="64"/>
    </row>
    <row r="44" spans="1:10" ht="15" customHeight="1" x14ac:dyDescent="0.2">
      <c r="A44" s="97" t="s">
        <v>175</v>
      </c>
      <c r="B44" s="98"/>
      <c r="C44" s="98"/>
      <c r="D44" s="98"/>
      <c r="E44" s="98"/>
      <c r="F44" s="99"/>
      <c r="G44" s="63">
        <f>MROUND(220*$I$8,5)</f>
        <v>225</v>
      </c>
      <c r="H44" s="63"/>
      <c r="I44" s="64">
        <f t="shared" si="6"/>
        <v>225</v>
      </c>
      <c r="J44" s="64"/>
    </row>
    <row r="45" spans="1:10" ht="15" customHeight="1" x14ac:dyDescent="0.2">
      <c r="A45" s="97" t="s">
        <v>150</v>
      </c>
      <c r="B45" s="98"/>
      <c r="C45" s="98"/>
      <c r="D45" s="98"/>
      <c r="E45" s="98"/>
      <c r="F45" s="99"/>
      <c r="G45" s="63">
        <f>MROUND(150*$I$8,5)</f>
        <v>155</v>
      </c>
      <c r="H45" s="63"/>
      <c r="I45" s="64">
        <f t="shared" ref="I45" si="7">ROUND(G45*$J$8,0)</f>
        <v>155</v>
      </c>
      <c r="J45" s="64"/>
    </row>
    <row r="46" spans="1:10" ht="15" customHeight="1" x14ac:dyDescent="0.2">
      <c r="B46" s="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3" t="s">
        <v>178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5" customHeight="1" x14ac:dyDescent="0.2">
      <c r="A48" s="3" t="s">
        <v>143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5" customHeight="1" x14ac:dyDescent="0.2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5" customHeight="1" x14ac:dyDescent="0.2">
      <c r="A50" s="4" t="s">
        <v>34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</sheetData>
  <sheetProtection password="89B2" sheet="1" objects="1" scenarios="1"/>
  <mergeCells count="93">
    <mergeCell ref="A45:F45"/>
    <mergeCell ref="G45:H45"/>
    <mergeCell ref="I45:J45"/>
    <mergeCell ref="A43:F43"/>
    <mergeCell ref="G43:H43"/>
    <mergeCell ref="I43:J43"/>
    <mergeCell ref="A44:F44"/>
    <mergeCell ref="G44:H44"/>
    <mergeCell ref="I44:J44"/>
    <mergeCell ref="A40:J40"/>
    <mergeCell ref="A41:F41"/>
    <mergeCell ref="G41:H41"/>
    <mergeCell ref="I41:J41"/>
    <mergeCell ref="A42:F42"/>
    <mergeCell ref="G42:H42"/>
    <mergeCell ref="I42:J42"/>
    <mergeCell ref="A37:F37"/>
    <mergeCell ref="G37:H37"/>
    <mergeCell ref="I37:J37"/>
    <mergeCell ref="A39:H39"/>
    <mergeCell ref="I39:J39"/>
    <mergeCell ref="A35:F35"/>
    <mergeCell ref="G35:H35"/>
    <mergeCell ref="I35:J35"/>
    <mergeCell ref="A36:F36"/>
    <mergeCell ref="G36:H36"/>
    <mergeCell ref="I36:J36"/>
    <mergeCell ref="A32:H32"/>
    <mergeCell ref="I32:J32"/>
    <mergeCell ref="A33:J33"/>
    <mergeCell ref="A34:F34"/>
    <mergeCell ref="G34:H34"/>
    <mergeCell ref="I34:J34"/>
    <mergeCell ref="A30:F30"/>
    <mergeCell ref="G30:H30"/>
    <mergeCell ref="I30:J30"/>
    <mergeCell ref="I27:J27"/>
    <mergeCell ref="A28:J28"/>
    <mergeCell ref="A29:F29"/>
    <mergeCell ref="G29:H29"/>
    <mergeCell ref="I29:J29"/>
    <mergeCell ref="A23:F23"/>
    <mergeCell ref="A24:F24"/>
    <mergeCell ref="A25:F25"/>
    <mergeCell ref="A27:H27"/>
    <mergeCell ref="A18:F18"/>
    <mergeCell ref="A19:F19"/>
    <mergeCell ref="A20:F20"/>
    <mergeCell ref="A21:F21"/>
    <mergeCell ref="A22:F22"/>
    <mergeCell ref="G19:H19"/>
    <mergeCell ref="G22:H22"/>
    <mergeCell ref="G25:H25"/>
    <mergeCell ref="A10:J10"/>
    <mergeCell ref="A11:F11"/>
    <mergeCell ref="A13:F13"/>
    <mergeCell ref="A14:F14"/>
    <mergeCell ref="A15:F15"/>
    <mergeCell ref="A12:F12"/>
    <mergeCell ref="G12:H12"/>
    <mergeCell ref="I12:J12"/>
    <mergeCell ref="A16:F16"/>
    <mergeCell ref="A17:F17"/>
    <mergeCell ref="I5:J5"/>
    <mergeCell ref="A6:H7"/>
    <mergeCell ref="I6:J7"/>
    <mergeCell ref="A9:H9"/>
    <mergeCell ref="I9:J9"/>
    <mergeCell ref="G13:H13"/>
    <mergeCell ref="I13:J13"/>
    <mergeCell ref="G11:H11"/>
    <mergeCell ref="I11:J11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I19:J19"/>
    <mergeCell ref="G20:H20"/>
    <mergeCell ref="I20:J20"/>
    <mergeCell ref="G21:H21"/>
    <mergeCell ref="I21:J21"/>
    <mergeCell ref="I25:J25"/>
    <mergeCell ref="I22:J22"/>
    <mergeCell ref="G23:H23"/>
    <mergeCell ref="I23:J23"/>
    <mergeCell ref="G24:H24"/>
    <mergeCell ref="I24:J24"/>
  </mergeCell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>
    <oddFooter xml:space="preserve">&amp;L&amp;"Arial,Obyčejné"&amp;10   ITS097-01, © Greif-akustika, s.r.o.&amp;R&amp;"Arial,Obyčejné"&amp;10List &amp;P/&amp;N    </oddFooter>
  </headerFooter>
  <rowBreaks count="2" manualBreakCount="2">
    <brk id="50" max="9" man="1"/>
    <brk id="10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Obsah</vt:lpstr>
      <vt:lpstr>Buňky G-GE-GH</vt:lpstr>
      <vt:lpstr>Kulisy GKK</vt:lpstr>
      <vt:lpstr>Kulisy GKD</vt:lpstr>
      <vt:lpstr>Kulisy GKDH</vt:lpstr>
      <vt:lpstr>Kruhové tlumiče GD</vt:lpstr>
      <vt:lpstr>Kruhové tlumiče GDE</vt:lpstr>
      <vt:lpstr>Tlumiče výfuku GV</vt:lpstr>
      <vt:lpstr>Akustické materiály</vt:lpstr>
      <vt:lpstr>Akustické kryty GAK</vt:lpstr>
      <vt:lpstr>Protihlukové digestoře GPHD</vt:lpstr>
      <vt:lpstr>'Akustické kryty GAK'!Oblast_tisku</vt:lpstr>
      <vt:lpstr>'Akustické materiály'!Oblast_tisku</vt:lpstr>
      <vt:lpstr>'Buňky G-GE-GH'!Oblast_tisku</vt:lpstr>
      <vt:lpstr>'Kruhové tlumiče GD'!Oblast_tisku</vt:lpstr>
      <vt:lpstr>'Kruhové tlumiče GDE'!Oblast_tisku</vt:lpstr>
      <vt:lpstr>'Kulisy GKD'!Oblast_tisku</vt:lpstr>
      <vt:lpstr>'Kulisy GKDH'!Oblast_tisku</vt:lpstr>
      <vt:lpstr>'Kulisy GKK'!Oblast_tisku</vt:lpstr>
      <vt:lpstr>Obsah!Oblast_tisku</vt:lpstr>
      <vt:lpstr>'Protihlukové digestoře GPHD'!Oblast_tisku</vt:lpstr>
      <vt:lpstr>'Tlumiče výfuku GV'!Oblast_tisku</vt:lpstr>
    </vt:vector>
  </TitlesOfParts>
  <LinksUpToDate>false</LinksUpToDate>
  <SharedDoc>false</SharedDoc>
  <HyperlinkBase>/novinky/cenik-greif-akustika-5ba489276c959.html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ITS097-01</dc:title>
  <dc:subject>Ceník společnosti Greif-akustika</dc:subject>
  <dc:creator/>
  <cp:keywords>Výrobky</cp:keywords>
  <cp:lastModifiedBy/>
  <dcterms:created xsi:type="dcterms:W3CDTF">2006-09-16T00:00:00Z</dcterms:created>
  <dcterms:modified xsi:type="dcterms:W3CDTF">2019-03-28T07:40:29Z</dcterms:modified>
</cp:coreProperties>
</file>